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codeName="ThisWorkbook" autoCompressPictures="0"/>
  <workbookProtection workbookAlgorithmName="SHA-512" workbookHashValue="/P/rn5qsPfMGeOx0cneB81nKmqQM8/QuwzePXH0SS1h34oWNPV/vMJNUA02QT0CEGlNucoVxwC8Aqp6fJqIh/g==" workbookSaltValue="44YitQwjYm4XPio4r8cAcQ==" workbookSpinCount="100000" lockStructure="1"/>
  <bookViews>
    <workbookView xWindow="0" yWindow="0" windowWidth="28800" windowHeight="12340"/>
  </bookViews>
  <sheets>
    <sheet name="Hampshire College" sheetId="8" r:id="rId1"/>
    <sheet name="Inputs" sheetId="11" state="hidden" r:id="rId2"/>
    <sheet name="2018" sheetId="12" state="hidden" r:id="rId3"/>
  </sheets>
  <definedNames>
    <definedName name="_xlnm.Print_Area" localSheetId="0">'Hampshire College'!$A$1:$H$37</definedName>
  </definedName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8" l="1"/>
  <c r="A10" i="8"/>
  <c r="A9" i="8"/>
  <c r="AG17" i="11"/>
  <c r="AF17" i="11"/>
  <c r="AE17" i="11"/>
  <c r="AD17" i="11"/>
  <c r="AG16" i="11"/>
  <c r="AF16" i="11"/>
  <c r="AE16" i="11"/>
  <c r="AD16" i="11"/>
  <c r="AG15" i="11"/>
  <c r="AF15" i="11"/>
  <c r="AE15" i="11"/>
  <c r="AD15" i="11"/>
  <c r="AG12" i="11"/>
  <c r="AF12" i="11"/>
  <c r="AE12" i="11"/>
  <c r="AD12" i="11"/>
  <c r="AG11" i="11"/>
  <c r="AF11" i="11"/>
  <c r="AE11" i="11"/>
  <c r="AD11" i="11"/>
  <c r="AG10" i="11"/>
  <c r="AF10" i="11"/>
  <c r="AE10" i="11"/>
  <c r="AD10" i="11"/>
  <c r="AI17" i="11"/>
  <c r="AI16" i="11"/>
  <c r="AI15" i="11"/>
  <c r="AI12" i="11"/>
  <c r="AI11" i="11"/>
  <c r="AI10" i="11"/>
  <c r="AI7" i="11"/>
  <c r="AI6" i="11"/>
  <c r="AI5" i="11"/>
  <c r="AK39" i="12"/>
  <c r="AK38" i="12"/>
  <c r="AK37" i="12"/>
  <c r="AJ39" i="12"/>
  <c r="AJ38" i="12"/>
  <c r="AJ37" i="12"/>
  <c r="AG7" i="11"/>
  <c r="AF7" i="11"/>
  <c r="AE7" i="11"/>
  <c r="AD7" i="11"/>
  <c r="AG6" i="11"/>
  <c r="AF6" i="11"/>
  <c r="AE6" i="11"/>
  <c r="AD6" i="11"/>
  <c r="AG5" i="11"/>
  <c r="AF5" i="11"/>
  <c r="AE5" i="11"/>
  <c r="AD5" i="11"/>
  <c r="D21" i="8"/>
  <c r="K27" i="8"/>
  <c r="M28" i="8"/>
  <c r="K28" i="8"/>
  <c r="L28" i="8"/>
  <c r="L18" i="8"/>
  <c r="L17" i="8"/>
  <c r="L16" i="8"/>
  <c r="M25" i="8"/>
  <c r="M24" i="8"/>
  <c r="M23" i="8"/>
  <c r="L25" i="8"/>
  <c r="L24" i="8"/>
  <c r="L23" i="8"/>
  <c r="K25" i="8"/>
  <c r="K24" i="8"/>
  <c r="K23" i="8"/>
  <c r="P3" i="11"/>
  <c r="P4" i="11"/>
  <c r="P17" i="11"/>
  <c r="P16" i="11"/>
  <c r="P15" i="11"/>
  <c r="P12" i="11"/>
  <c r="P11" i="11"/>
  <c r="P10" i="11"/>
  <c r="P7" i="11"/>
  <c r="P6" i="11"/>
  <c r="P5" i="11"/>
  <c r="B11" i="8"/>
  <c r="F29" i="11"/>
  <c r="F27" i="11"/>
  <c r="F34" i="11"/>
  <c r="B10" i="8"/>
  <c r="B9" i="8"/>
  <c r="D28" i="8"/>
  <c r="F28" i="11"/>
  <c r="N17" i="11"/>
  <c r="N16" i="11"/>
  <c r="N15" i="11"/>
  <c r="N12" i="11"/>
  <c r="N11" i="11"/>
  <c r="N10" i="11"/>
  <c r="N7" i="11"/>
  <c r="N6" i="11"/>
  <c r="N5" i="11"/>
  <c r="K34" i="11"/>
  <c r="J34" i="11"/>
  <c r="I34" i="11"/>
  <c r="F15" i="8"/>
  <c r="K29" i="11"/>
  <c r="I29" i="11"/>
  <c r="J29" i="11"/>
  <c r="J28" i="11"/>
  <c r="K28" i="11"/>
  <c r="I28" i="11"/>
  <c r="F22" i="8"/>
  <c r="I27" i="11"/>
  <c r="J27" i="11"/>
  <c r="K27" i="11"/>
  <c r="F35" i="11"/>
  <c r="I35" i="11"/>
  <c r="K35" i="11"/>
  <c r="J35" i="11"/>
  <c r="F24" i="8"/>
  <c r="F23" i="8"/>
  <c r="F25" i="8"/>
  <c r="D22" i="8"/>
  <c r="H22" i="8"/>
  <c r="H15" i="8"/>
  <c r="H25" i="8"/>
  <c r="H24" i="8"/>
  <c r="H23" i="8"/>
  <c r="D25" i="8"/>
  <c r="D23" i="8"/>
  <c r="D24" i="8"/>
  <c r="H21" i="8"/>
  <c r="H20" i="8"/>
  <c r="H19" i="8"/>
  <c r="F21" i="8"/>
  <c r="F20" i="8"/>
  <c r="F19" i="8"/>
  <c r="D20" i="8"/>
  <c r="D19" i="8"/>
  <c r="D18" i="8"/>
  <c r="D17" i="8"/>
  <c r="D16" i="8"/>
  <c r="F26" i="8"/>
  <c r="H26" i="8"/>
  <c r="H27" i="8"/>
  <c r="D26" i="8"/>
  <c r="D27" i="8"/>
  <c r="D29" i="8"/>
  <c r="H28" i="8"/>
  <c r="H29" i="8"/>
  <c r="F28" i="8"/>
  <c r="F27" i="8"/>
  <c r="F29" i="8"/>
</calcChain>
</file>

<file path=xl/sharedStrings.xml><?xml version="1.0" encoding="utf-8"?>
<sst xmlns="http://schemas.openxmlformats.org/spreadsheetml/2006/main" count="309" uniqueCount="151">
  <si>
    <t>Emergency Room</t>
  </si>
  <si>
    <t>Total Annual Cost</t>
  </si>
  <si>
    <t>Individual</t>
  </si>
  <si>
    <t>Co-Pay/Coinsurance</t>
  </si>
  <si>
    <t>Hampshire College</t>
  </si>
  <si>
    <t>HMO</t>
  </si>
  <si>
    <t xml:space="preserve">  Family</t>
  </si>
  <si>
    <t>PPO</t>
  </si>
  <si>
    <t>Benefit</t>
  </si>
  <si>
    <t>Annual Deductible</t>
  </si>
  <si>
    <t>None</t>
  </si>
  <si>
    <t>Hospital Outpatient</t>
  </si>
  <si>
    <t>High Tech Imaging</t>
  </si>
  <si>
    <t>Covered in Full</t>
  </si>
  <si>
    <t>100% after $100 copay</t>
  </si>
  <si>
    <t>PCP Office Visits</t>
  </si>
  <si>
    <t>Specialist Office Visits</t>
  </si>
  <si>
    <t xml:space="preserve">Retail Prescription Drugs                          </t>
  </si>
  <si>
    <t xml:space="preserve">Mail Order Prescription Drugs                          </t>
  </si>
  <si>
    <t>Tier Election</t>
  </si>
  <si>
    <t>In-Network</t>
  </si>
  <si>
    <t>Out-of-Network</t>
  </si>
  <si>
    <t>Hospital Inpatient Admission</t>
  </si>
  <si>
    <t>In Network Services</t>
  </si>
  <si>
    <t>$500 / $1,000</t>
  </si>
  <si>
    <t>PCP Office Visit</t>
  </si>
  <si>
    <t>Specialist Office Visit</t>
  </si>
  <si>
    <t>Retail Prescription Drugs - Generic</t>
  </si>
  <si>
    <t>Retail Prescription Drugs - Brand</t>
  </si>
  <si>
    <t>Retail Prescription Drugs - Formulary</t>
  </si>
  <si>
    <t>Prescription Drug Annual Deductible</t>
  </si>
  <si>
    <t>$0 after Deductible</t>
  </si>
  <si>
    <t>-</t>
  </si>
  <si>
    <t>Notes</t>
  </si>
  <si>
    <t>Estimated # Used per Yr.</t>
  </si>
  <si>
    <t>Individual / 2 Party / Family</t>
  </si>
  <si>
    <t>* The Rx costs are conservatively estimated based on the upfront deductible and the estimated copays required based on buying patterns.</t>
  </si>
  <si>
    <t>Annual Co-Pay/Ded Cost</t>
  </si>
  <si>
    <t>See Deductible Above</t>
  </si>
  <si>
    <t>Please make your inputs in the hunter green cells below.</t>
  </si>
  <si>
    <t>Expected OOP Cost</t>
  </si>
  <si>
    <t>Annual Employee Contribution</t>
  </si>
  <si>
    <t>Annual Employee Contribution Costs</t>
  </si>
  <si>
    <t xml:space="preserve"> </t>
  </si>
  <si>
    <t>Low Option HMO</t>
  </si>
  <si>
    <t>Core HMO</t>
  </si>
  <si>
    <t>Low Cost HMO</t>
  </si>
  <si>
    <r>
      <t xml:space="preserve">$500 </t>
    </r>
    <r>
      <rPr>
        <sz val="11"/>
        <color rgb="FFFF0000"/>
        <rFont val="Calibri"/>
      </rPr>
      <t xml:space="preserve">$1,000 </t>
    </r>
    <r>
      <rPr>
        <sz val="11"/>
        <color rgb="FF000000"/>
        <rFont val="Calibri"/>
      </rPr>
      <t xml:space="preserve">Ind / </t>
    </r>
  </si>
  <si>
    <r>
      <t>$1,000</t>
    </r>
    <r>
      <rPr>
        <sz val="11"/>
        <color rgb="FF000000"/>
        <rFont val="Calibri"/>
      </rPr>
      <t xml:space="preserve"> </t>
    </r>
    <r>
      <rPr>
        <sz val="11"/>
        <color rgb="FFFF0000"/>
        <rFont val="Calibri"/>
      </rPr>
      <t xml:space="preserve">$2,000 </t>
    </r>
    <r>
      <rPr>
        <sz val="11"/>
        <color rgb="FF000000"/>
        <rFont val="Calibri"/>
      </rPr>
      <t>Family</t>
    </r>
  </si>
  <si>
    <r>
      <t xml:space="preserve">$500 </t>
    </r>
    <r>
      <rPr>
        <strike/>
        <sz val="11"/>
        <color rgb="FF000000"/>
        <rFont val="Calibri"/>
      </rPr>
      <t xml:space="preserve">$250 </t>
    </r>
    <r>
      <rPr>
        <sz val="11"/>
        <color rgb="FF000000"/>
        <rFont val="Calibri"/>
      </rPr>
      <t xml:space="preserve">Individual </t>
    </r>
  </si>
  <si>
    <r>
      <t xml:space="preserve">$1,000 </t>
    </r>
    <r>
      <rPr>
        <strike/>
        <sz val="11"/>
        <color rgb="FF000000"/>
        <rFont val="Calibri"/>
      </rPr>
      <t>$500</t>
    </r>
    <r>
      <rPr>
        <sz val="11"/>
        <color rgb="FF000000"/>
        <rFont val="Calibri"/>
      </rPr>
      <t xml:space="preserve"> Family</t>
    </r>
  </si>
  <si>
    <t xml:space="preserve">$500 Individual          </t>
  </si>
  <si>
    <t>$1,000 Family</t>
  </si>
  <si>
    <t>Out-of-Pocket Maximum</t>
  </si>
  <si>
    <r>
      <t xml:space="preserve">$1,000 </t>
    </r>
    <r>
      <rPr>
        <sz val="11"/>
        <color rgb="FFFF0000"/>
        <rFont val="Calibri"/>
      </rPr>
      <t xml:space="preserve">$2,000 </t>
    </r>
    <r>
      <rPr>
        <sz val="11"/>
        <color rgb="FF000000"/>
        <rFont val="Calibri"/>
      </rPr>
      <t xml:space="preserve">Ind / </t>
    </r>
  </si>
  <si>
    <r>
      <t xml:space="preserve"> $2,000</t>
    </r>
    <r>
      <rPr>
        <sz val="11"/>
        <color rgb="FF7030A0"/>
        <rFont val="Calibri"/>
      </rPr>
      <t xml:space="preserve"> </t>
    </r>
    <r>
      <rPr>
        <sz val="11"/>
        <color rgb="FFFF0000"/>
        <rFont val="Calibri"/>
      </rPr>
      <t xml:space="preserve">$4,000 </t>
    </r>
    <r>
      <rPr>
        <sz val="11"/>
        <color rgb="FF000000"/>
        <rFont val="Calibri"/>
      </rPr>
      <t>Family</t>
    </r>
  </si>
  <si>
    <r>
      <t>$1,500</t>
    </r>
    <r>
      <rPr>
        <sz val="11"/>
        <color rgb="FF000000"/>
        <rFont val="Calibri"/>
      </rPr>
      <t xml:space="preserve"> </t>
    </r>
    <r>
      <rPr>
        <sz val="11"/>
        <color rgb="FFFF0000"/>
        <rFont val="Calibri"/>
      </rPr>
      <t xml:space="preserve">$2,000 </t>
    </r>
    <r>
      <rPr>
        <sz val="11"/>
        <color rgb="FF000000"/>
        <rFont val="Calibri"/>
      </rPr>
      <t xml:space="preserve">Ind  / </t>
    </r>
  </si>
  <si>
    <r>
      <t>$3,000</t>
    </r>
    <r>
      <rPr>
        <sz val="11"/>
        <color rgb="FF000000"/>
        <rFont val="Calibri"/>
      </rPr>
      <t xml:space="preserve"> </t>
    </r>
    <r>
      <rPr>
        <sz val="11"/>
        <color rgb="FFFF0000"/>
        <rFont val="Calibri"/>
      </rPr>
      <t xml:space="preserve">$4,000 </t>
    </r>
    <r>
      <rPr>
        <sz val="11"/>
        <color rgb="FF000000"/>
        <rFont val="Calibri"/>
      </rPr>
      <t>Family</t>
    </r>
  </si>
  <si>
    <r>
      <t xml:space="preserve">$1,000 </t>
    </r>
    <r>
      <rPr>
        <sz val="11"/>
        <color rgb="FFFF0000"/>
        <rFont val="Calibri"/>
      </rPr>
      <t>$2,000</t>
    </r>
    <r>
      <rPr>
        <sz val="11"/>
        <color rgb="FF000000"/>
        <rFont val="Calibri"/>
      </rPr>
      <t xml:space="preserve"> Ind /</t>
    </r>
  </si>
  <si>
    <t xml:space="preserve">$2,000 Ind  / </t>
  </si>
  <si>
    <t>$4,000 Family</t>
  </si>
  <si>
    <t xml:space="preserve">Hospital Inpatient Admission </t>
  </si>
  <si>
    <r>
      <t>$250</t>
    </r>
    <r>
      <rPr>
        <sz val="11"/>
        <color rgb="FF000000"/>
        <rFont val="Calibri"/>
      </rPr>
      <t xml:space="preserve"> </t>
    </r>
    <r>
      <rPr>
        <sz val="11"/>
        <color rgb="FFFF0000"/>
        <rFont val="Calibri"/>
      </rPr>
      <t xml:space="preserve">$500 </t>
    </r>
    <r>
      <rPr>
        <sz val="11"/>
        <color rgb="FF000000"/>
        <rFont val="Calibri"/>
      </rPr>
      <t>copay</t>
    </r>
    <r>
      <rPr>
        <strike/>
        <sz val="11"/>
        <color rgb="FF000000"/>
        <rFont val="Calibri"/>
      </rPr>
      <t xml:space="preserve"> </t>
    </r>
  </si>
  <si>
    <t>Covered in full after deductible</t>
  </si>
  <si>
    <t>20% after deductible</t>
  </si>
  <si>
    <t xml:space="preserve">Hospital Outpatient Surgical </t>
  </si>
  <si>
    <r>
      <t xml:space="preserve">$150 </t>
    </r>
    <r>
      <rPr>
        <sz val="11"/>
        <color rgb="FFFF0000"/>
        <rFont val="Calibri"/>
      </rPr>
      <t>$250 copay</t>
    </r>
  </si>
  <si>
    <t>$75 copay per test</t>
  </si>
  <si>
    <r>
      <t>$75</t>
    </r>
    <r>
      <rPr>
        <sz val="11"/>
        <color rgb="FF000000"/>
        <rFont val="Calibri"/>
      </rPr>
      <t xml:space="preserve"> </t>
    </r>
    <r>
      <rPr>
        <sz val="11"/>
        <color rgb="FFFF0000"/>
        <rFont val="Calibri"/>
      </rPr>
      <t xml:space="preserve">$100 </t>
    </r>
    <r>
      <rPr>
        <sz val="11"/>
        <color rgb="FF000000"/>
        <rFont val="Calibri"/>
      </rPr>
      <t>copay</t>
    </r>
  </si>
  <si>
    <t>$100 copay</t>
  </si>
  <si>
    <t>$20 copay</t>
  </si>
  <si>
    <t>$25 copay</t>
  </si>
  <si>
    <r>
      <t xml:space="preserve">$30 </t>
    </r>
    <r>
      <rPr>
        <strike/>
        <sz val="11"/>
        <color rgb="FF000000"/>
        <rFont val="Calibri"/>
      </rPr>
      <t>$25</t>
    </r>
    <r>
      <rPr>
        <sz val="11"/>
        <color rgb="FF000000"/>
        <rFont val="Calibri"/>
      </rPr>
      <t xml:space="preserve"> copay</t>
    </r>
  </si>
  <si>
    <t>20% after deductible </t>
  </si>
  <si>
    <t>$30 copay</t>
  </si>
  <si>
    <t>$35 copay</t>
  </si>
  <si>
    <t>(deductible applies to chiro, PT &amp; OT)</t>
  </si>
  <si>
    <r>
      <t>$30</t>
    </r>
    <r>
      <rPr>
        <sz val="11"/>
        <color rgb="FF1F497D"/>
        <rFont val="Calibri"/>
      </rPr>
      <t xml:space="preserve"> </t>
    </r>
    <r>
      <rPr>
        <strike/>
        <sz val="11"/>
        <color rgb="FF000000"/>
        <rFont val="Calibri"/>
      </rPr>
      <t>$25</t>
    </r>
    <r>
      <rPr>
        <sz val="11"/>
        <color rgb="FF000000"/>
        <rFont val="Calibri"/>
      </rPr>
      <t xml:space="preserve"> copay</t>
    </r>
  </si>
  <si>
    <t>(deductible &amp; co-ins apply to chiro, PT &amp; OT)</t>
  </si>
  <si>
    <t xml:space="preserve">$100/$200 deductible then, </t>
  </si>
  <si>
    <t>$10/$30/$50</t>
  </si>
  <si>
    <r>
      <t>$15</t>
    </r>
    <r>
      <rPr>
        <sz val="11"/>
        <color rgb="FF000000"/>
        <rFont val="Calibri"/>
      </rPr>
      <t xml:space="preserve"> </t>
    </r>
    <r>
      <rPr>
        <strike/>
        <sz val="11"/>
        <color rgb="FF000000"/>
        <rFont val="Calibri"/>
      </rPr>
      <t>$10</t>
    </r>
    <r>
      <rPr>
        <sz val="11"/>
        <color rgb="FF000000"/>
        <rFont val="Calibri"/>
      </rPr>
      <t>/$30/$50</t>
    </r>
  </si>
  <si>
    <t xml:space="preserve">Reimbursable at in-network level </t>
  </si>
  <si>
    <t>$20/$60/$100</t>
  </si>
  <si>
    <r>
      <t xml:space="preserve">$30 </t>
    </r>
    <r>
      <rPr>
        <strike/>
        <sz val="11"/>
        <color rgb="FF000000"/>
        <rFont val="Calibri"/>
      </rPr>
      <t>$20</t>
    </r>
    <r>
      <rPr>
        <sz val="11"/>
        <color rgb="FF000000"/>
        <rFont val="Calibri"/>
      </rPr>
      <t>/$60/$100</t>
    </r>
  </si>
  <si>
    <t xml:space="preserve">Not covered </t>
  </si>
  <si>
    <t>Plan Design Changes per 7/26 meeting with Defined Contribution / Hampshire net 7%</t>
  </si>
  <si>
    <t xml:space="preserve">Enrollment </t>
  </si>
  <si>
    <t xml:space="preserve">Total Monthly Premium </t>
  </si>
  <si>
    <t xml:space="preserve">Employee Cost </t>
  </si>
  <si>
    <t xml:space="preserve">HMO </t>
  </si>
  <si>
    <t xml:space="preserve">  Individual</t>
  </si>
  <si>
    <t xml:space="preserve">  EE + 1</t>
  </si>
  <si>
    <t xml:space="preserve">Low Option HMO </t>
  </si>
  <si>
    <t>Net Hampshire Cost</t>
  </si>
  <si>
    <t>Tier</t>
  </si>
  <si>
    <t>VLOOKUPS</t>
  </si>
  <si>
    <t>Vlookup</t>
  </si>
  <si>
    <t>* Prescription drug costs assume (for estimation purposes) $40 for generic medication, $175 for brand medication and $300 for formulary medication.</t>
  </si>
  <si>
    <t>* Assumes inpatient admission costs $9,500, outpatient care costs $5,500, and high tech imagine costs $600.</t>
  </si>
  <si>
    <t>Rx Totals by Plan</t>
  </si>
  <si>
    <t>EE+1/Family</t>
  </si>
  <si>
    <t>Annual Co-Pay/Ded Cost (OOP Max Protection)</t>
  </si>
  <si>
    <t>All Plans</t>
  </si>
  <si>
    <t>OOP Max</t>
  </si>
  <si>
    <t>$1,000 / $2,000</t>
  </si>
  <si>
    <t>Deductible Total</t>
  </si>
  <si>
    <t>questions for Steve:</t>
  </si>
  <si>
    <t>- check RX deductible. Appears to be including the copay when the deductible has not been satisfied. (e.g. 1 generic Rx, showing as both $40 deductible expense and $10 copay)</t>
  </si>
  <si>
    <t xml:space="preserve">* Estimate the total number of services incurred by you and your dependents for the entire plan year. If you select the EE+1 or Family tier, the tool will calculate based on the Family deductibles and OOP maximums. </t>
  </si>
  <si>
    <t xml:space="preserve">EE Impact </t>
  </si>
  <si>
    <t xml:space="preserve">($ change monthly) </t>
  </si>
  <si>
    <t xml:space="preserve">(% change) </t>
  </si>
  <si>
    <t>Plans</t>
  </si>
  <si>
    <t>Enrollment</t>
  </si>
  <si>
    <t>Total Monthly Premium</t>
  </si>
  <si>
    <t>EE Contribution</t>
  </si>
  <si>
    <t>ER Contribution</t>
  </si>
  <si>
    <t xml:space="preserve">HMO - Choice with ER and RX Changes </t>
  </si>
  <si>
    <t>HMO - Advantage with ER and RX changes</t>
  </si>
  <si>
    <t>PPO with ER and RX changes</t>
  </si>
  <si>
    <t>Annualized Totals </t>
  </si>
  <si>
    <t> Change from Current ($)</t>
  </si>
  <si>
    <t> Change from Current (%)</t>
  </si>
  <si>
    <t xml:space="preserve">FINAL RENEWAL DECISION </t>
  </si>
  <si>
    <t>TUFTS - Alternate Plan Designs</t>
  </si>
  <si>
    <t xml:space="preserve">Alt 1 in 9/6 ppt </t>
  </si>
  <si>
    <t>Current</t>
  </si>
  <si>
    <t>Status Quo REVISED Renewal</t>
  </si>
  <si>
    <t xml:space="preserve">EE Impact ($ change monthly) </t>
  </si>
  <si>
    <t xml:space="preserve">EE Impact ($ change annually) </t>
  </si>
  <si>
    <t xml:space="preserve">EE Impact (% change) </t>
  </si>
  <si>
    <t>Alternative 3</t>
  </si>
  <si>
    <t>Total Premium</t>
  </si>
  <si>
    <t>EE Contrib %</t>
  </si>
  <si>
    <t>HMO - Choice</t>
  </si>
  <si>
    <t>bi-weekly EE rates (taken over 24 pay periods)</t>
  </si>
  <si>
    <t>HMO - Advantage</t>
  </si>
  <si>
    <t>Totals</t>
  </si>
  <si>
    <t>Change ($)</t>
  </si>
  <si>
    <t>Change (%)</t>
  </si>
  <si>
    <t>ALTERNATIVE 1: Choice HMO eliminated, Advantage HMO becomes “High Option”, new low option HMO</t>
  </si>
  <si>
    <t>ALTERNATIVE 1.5: Choice HMO eliminated, Advantage HMO becomes “High Option” and 10% coninsurance is added, new low option HMO with 10% coinsurance</t>
  </si>
  <si>
    <t>ALTERNATIVE 2: Choice HMO eliminated, Advantage HMO becomes “High Option”, Add HDHP w/ HSA</t>
  </si>
  <si>
    <t>10% of total premium</t>
  </si>
  <si>
    <t>12% of total premium</t>
  </si>
  <si>
    <t>\\sbasvr\PUBLIC\Clients\H\Hampshire College\2018\RFPs\Medical\Analysis\Financial Proposals_final decision.xlsx</t>
  </si>
  <si>
    <t>$250 / $500</t>
  </si>
  <si>
    <t>Previous Inputs</t>
  </si>
  <si>
    <t>* The PPO plan estimates in network costs only.</t>
  </si>
  <si>
    <t xml:space="preserve">* The out-of-pocket (OOP) maximum for all plans is $2,000 per Individual / $4,000 per family per year. All medical and pharmacy deductibles and copays accumulate toward the OOP max.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</si>
</sst>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&quot;$&quot;#,##0"/>
    <numFmt numFmtId="168" formatCode="&quot;$&quot;#,##0.00"/>
    <numFmt numFmtId="169" formatCode="0.0%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</font>
    <font>
      <sz val="11"/>
      <color rgb="FFFFFFFF"/>
      <name val="Calibri"/>
    </font>
    <font>
      <sz val="11"/>
      <color rgb="FF000000"/>
      <name val="Calibri"/>
    </font>
    <font>
      <strike/>
      <sz val="11"/>
      <color rgb="FF000000"/>
      <name val="Calibri"/>
    </font>
    <font>
      <sz val="11"/>
      <color rgb="FFFF0000"/>
      <name val="Calibri"/>
    </font>
    <font>
      <sz val="11"/>
      <color rgb="FF7030A0"/>
      <name val="Calibri"/>
    </font>
    <font>
      <sz val="11"/>
      <color rgb="FF1F497D"/>
      <name val="Calibri"/>
    </font>
    <font>
      <b/>
      <sz val="11"/>
      <color rgb="FF000000"/>
      <name val="Calibri"/>
    </font>
    <font>
      <sz val="10"/>
      <color rgb="FF000000"/>
      <name val="Arial Narrow"/>
    </font>
    <font>
      <b/>
      <sz val="10"/>
      <color rgb="FF000000"/>
      <name val="Arial Narrow"/>
    </font>
    <font>
      <sz val="8"/>
      <color rgb="FF000000"/>
      <name val="Arial Narrow"/>
    </font>
    <font>
      <sz val="8"/>
      <color rgb="FF000000"/>
      <name val="Calibri"/>
    </font>
    <font>
      <sz val="8"/>
      <color rgb="FFFF0000"/>
      <name val="Calibri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</font>
    <font>
      <b/>
      <i/>
      <sz val="11"/>
      <color rgb="FFFFFFFF"/>
      <name val="Calibri"/>
    </font>
    <font>
      <i/>
      <sz val="11"/>
      <color rgb="FF000000"/>
      <name val="Calibri"/>
    </font>
    <font>
      <i/>
      <sz val="11"/>
      <color rgb="FFFF0000"/>
      <name val="Calibri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28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/>
      <top style="medium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326">
    <xf numFmtId="0" fontId="0" fillId="0" borderId="0" xfId="0"/>
    <xf numFmtId="0" fontId="0" fillId="2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67" fontId="0" fillId="0" borderId="1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quotePrefix="1" applyFont="1" applyBorder="1" applyAlignment="1" applyProtection="1">
      <alignment horizontal="center" vertical="center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" fontId="0" fillId="0" borderId="1" xfId="0" quotePrefix="1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7" fontId="0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 wrapText="1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164" fontId="7" fillId="5" borderId="2" xfId="0" applyNumberFormat="1" applyFont="1" applyFill="1" applyBorder="1" applyAlignment="1" applyProtection="1">
      <alignment horizontal="center" vertical="center" wrapText="1"/>
    </xf>
    <xf numFmtId="164" fontId="7" fillId="5" borderId="3" xfId="0" applyNumberFormat="1" applyFont="1" applyFill="1" applyBorder="1" applyAlignment="1" applyProtection="1">
      <alignment horizontal="center" vertical="center" wrapText="1"/>
    </xf>
    <xf numFmtId="164" fontId="7" fillId="5" borderId="3" xfId="0" quotePrefix="1" applyNumberFormat="1" applyFont="1" applyFill="1" applyBorder="1" applyAlignment="1" applyProtection="1">
      <alignment horizontal="center" vertical="center" wrapText="1"/>
    </xf>
    <xf numFmtId="164" fontId="7" fillId="5" borderId="4" xfId="0" applyNumberFormat="1" applyFont="1" applyFill="1" applyBorder="1" applyAlignment="1" applyProtection="1">
      <alignment horizontal="center" vertical="center" wrapText="1"/>
    </xf>
    <xf numFmtId="164" fontId="9" fillId="5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ont="1" applyFill="1" applyAlignment="1" applyProtection="1">
      <alignment horizontal="center" vertical="center"/>
    </xf>
    <xf numFmtId="164" fontId="9" fillId="5" borderId="1" xfId="0" applyNumberFormat="1" applyFont="1" applyFill="1" applyBorder="1" applyAlignment="1" applyProtection="1">
      <alignment horizontal="center" vertical="center"/>
    </xf>
    <xf numFmtId="166" fontId="4" fillId="6" borderId="19" xfId="1" applyFont="1" applyFill="1" applyBorder="1" applyAlignment="1" applyProtection="1">
      <alignment horizontal="center" vertical="center"/>
    </xf>
    <xf numFmtId="0" fontId="4" fillId="6" borderId="20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0" fontId="8" fillId="7" borderId="0" xfId="0" applyFont="1" applyFill="1" applyBorder="1" applyAlignment="1" applyProtection="1">
      <alignment horizontal="right" vertical="center"/>
    </xf>
    <xf numFmtId="9" fontId="9" fillId="7" borderId="0" xfId="0" applyNumberFormat="1" applyFont="1" applyFill="1" applyBorder="1" applyAlignment="1" applyProtection="1">
      <alignment horizontal="center" vertical="center" wrapText="1"/>
    </xf>
    <xf numFmtId="164" fontId="8" fillId="7" borderId="0" xfId="0" applyNumberFormat="1" applyFont="1" applyFill="1" applyBorder="1" applyAlignment="1" applyProtection="1">
      <alignment horizontal="center" vertical="center" wrapText="1"/>
    </xf>
    <xf numFmtId="0" fontId="8" fillId="7" borderId="0" xfId="0" applyFont="1" applyFill="1" applyBorder="1" applyAlignment="1" applyProtection="1">
      <alignment horizontal="center" vertical="center" wrapText="1"/>
    </xf>
    <xf numFmtId="0" fontId="0" fillId="7" borderId="0" xfId="0" applyFont="1" applyFill="1" applyAlignment="1" applyProtection="1">
      <alignment vertical="center"/>
    </xf>
    <xf numFmtId="0" fontId="0" fillId="7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12" fillId="8" borderId="5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0" fillId="9" borderId="24" xfId="0" applyFont="1" applyFill="1" applyBorder="1" applyAlignment="1">
      <alignment horizontal="center" wrapText="1" readingOrder="1"/>
    </xf>
    <xf numFmtId="0" fontId="20" fillId="10" borderId="11" xfId="0" applyFont="1" applyFill="1" applyBorder="1" applyAlignment="1">
      <alignment horizontal="center" wrapText="1" readingOrder="1"/>
    </xf>
    <xf numFmtId="0" fontId="20" fillId="10" borderId="12" xfId="0" applyFont="1" applyFill="1" applyBorder="1" applyAlignment="1">
      <alignment horizontal="center" wrapText="1" readingOrder="1"/>
    </xf>
    <xf numFmtId="0" fontId="19" fillId="0" borderId="24" xfId="0" applyFont="1" applyBorder="1" applyAlignment="1">
      <alignment horizontal="center" vertical="center" wrapText="1" readingOrder="1"/>
    </xf>
    <xf numFmtId="0" fontId="11" fillId="0" borderId="23" xfId="0" applyFont="1" applyBorder="1" applyAlignment="1">
      <alignment horizontal="center" wrapText="1"/>
    </xf>
    <xf numFmtId="165" fontId="13" fillId="0" borderId="23" xfId="0" applyNumberFormat="1" applyFont="1" applyBorder="1" applyAlignment="1">
      <alignment horizontal="center" wrapText="1" readingOrder="1"/>
    </xf>
    <xf numFmtId="0" fontId="21" fillId="0" borderId="24" xfId="0" applyFont="1" applyBorder="1" applyAlignment="1">
      <alignment horizontal="center" vertical="center" wrapText="1" readingOrder="1"/>
    </xf>
    <xf numFmtId="0" fontId="19" fillId="11" borderId="24" xfId="0" applyFont="1" applyFill="1" applyBorder="1" applyAlignment="1">
      <alignment horizontal="center" vertical="center" wrapText="1" readingOrder="1"/>
    </xf>
    <xf numFmtId="165" fontId="13" fillId="11" borderId="23" xfId="0" applyNumberFormat="1" applyFont="1" applyFill="1" applyBorder="1" applyAlignment="1">
      <alignment horizontal="center" wrapText="1" readingOrder="1"/>
    </xf>
    <xf numFmtId="0" fontId="21" fillId="11" borderId="24" xfId="0" applyFont="1" applyFill="1" applyBorder="1" applyAlignment="1">
      <alignment horizontal="center" vertical="center" wrapText="1" readingOrder="1"/>
    </xf>
    <xf numFmtId="0" fontId="22" fillId="11" borderId="23" xfId="0" applyFont="1" applyFill="1" applyBorder="1" applyAlignment="1">
      <alignment horizontal="center" wrapText="1" readingOrder="1"/>
    </xf>
    <xf numFmtId="0" fontId="19" fillId="9" borderId="25" xfId="0" applyFont="1" applyFill="1" applyBorder="1" applyAlignment="1">
      <alignment horizontal="left" wrapText="1" readingOrder="1"/>
    </xf>
    <xf numFmtId="0" fontId="19" fillId="9" borderId="26" xfId="0" applyFont="1" applyFill="1" applyBorder="1" applyAlignment="1">
      <alignment horizontal="center" wrapText="1" readingOrder="1"/>
    </xf>
    <xf numFmtId="0" fontId="19" fillId="9" borderId="30" xfId="0" applyFont="1" applyFill="1" applyBorder="1" applyAlignment="1">
      <alignment horizontal="left" wrapText="1" readingOrder="1"/>
    </xf>
    <xf numFmtId="0" fontId="20" fillId="10" borderId="31" xfId="0" applyFont="1" applyFill="1" applyBorder="1" applyAlignment="1">
      <alignment horizontal="center" wrapText="1" readingOrder="1"/>
    </xf>
    <xf numFmtId="0" fontId="19" fillId="0" borderId="30" xfId="0" applyFont="1" applyBorder="1" applyAlignment="1">
      <alignment horizontal="left" vertical="center" wrapText="1" readingOrder="1"/>
    </xf>
    <xf numFmtId="0" fontId="11" fillId="0" borderId="32" xfId="0" applyFont="1" applyBorder="1" applyAlignment="1">
      <alignment horizontal="center" wrapText="1"/>
    </xf>
    <xf numFmtId="0" fontId="21" fillId="0" borderId="30" xfId="0" applyFont="1" applyBorder="1" applyAlignment="1">
      <alignment horizontal="left" vertical="center" wrapText="1" readingOrder="1"/>
    </xf>
    <xf numFmtId="0" fontId="19" fillId="11" borderId="30" xfId="0" applyFont="1" applyFill="1" applyBorder="1" applyAlignment="1">
      <alignment horizontal="left" vertical="center" wrapText="1" readingOrder="1"/>
    </xf>
    <xf numFmtId="165" fontId="13" fillId="11" borderId="0" xfId="0" applyNumberFormat="1" applyFont="1" applyFill="1" applyBorder="1" applyAlignment="1">
      <alignment horizontal="center" wrapText="1" readingOrder="1"/>
    </xf>
    <xf numFmtId="0" fontId="21" fillId="11" borderId="30" xfId="0" applyFont="1" applyFill="1" applyBorder="1" applyAlignment="1">
      <alignment horizontal="left" vertical="center" wrapText="1" readingOrder="1"/>
    </xf>
    <xf numFmtId="0" fontId="23" fillId="11" borderId="0" xfId="0" applyFont="1" applyFill="1" applyBorder="1" applyAlignment="1">
      <alignment horizontal="center" wrapText="1" readingOrder="1"/>
    </xf>
    <xf numFmtId="0" fontId="22" fillId="11" borderId="32" xfId="0" applyFont="1" applyFill="1" applyBorder="1" applyAlignment="1">
      <alignment horizontal="center" wrapText="1" readingOrder="1"/>
    </xf>
    <xf numFmtId="0" fontId="11" fillId="0" borderId="0" xfId="0" applyFont="1" applyBorder="1" applyAlignment="1">
      <alignment horizontal="center" wrapText="1"/>
    </xf>
    <xf numFmtId="165" fontId="13" fillId="0" borderId="0" xfId="0" applyNumberFormat="1" applyFont="1" applyBorder="1" applyAlignment="1">
      <alignment horizontal="center" wrapText="1" readingOrder="1"/>
    </xf>
    <xf numFmtId="0" fontId="22" fillId="0" borderId="33" xfId="0" applyFont="1" applyBorder="1" applyAlignment="1">
      <alignment horizontal="left" wrapText="1" readingOrder="1"/>
    </xf>
    <xf numFmtId="0" fontId="22" fillId="0" borderId="34" xfId="0" applyFont="1" applyBorder="1" applyAlignment="1">
      <alignment horizontal="center" wrapText="1" readingOrder="1"/>
    </xf>
    <xf numFmtId="0" fontId="11" fillId="0" borderId="35" xfId="0" applyFont="1" applyBorder="1" applyAlignment="1">
      <alignment horizontal="center" wrapText="1"/>
    </xf>
    <xf numFmtId="0" fontId="11" fillId="0" borderId="36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165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12" borderId="0" xfId="0" applyFill="1" applyAlignment="1">
      <alignment horizontal="center" vertical="center"/>
    </xf>
    <xf numFmtId="0" fontId="25" fillId="2" borderId="0" xfId="0" applyFont="1" applyFill="1" applyAlignment="1" applyProtection="1">
      <alignment vertical="center"/>
    </xf>
    <xf numFmtId="9" fontId="9" fillId="7" borderId="0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 applyAlignment="1">
      <alignment vertical="center"/>
    </xf>
    <xf numFmtId="0" fontId="25" fillId="2" borderId="0" xfId="0" applyFont="1" applyFill="1" applyAlignment="1" applyProtection="1">
      <alignment vertical="center"/>
      <protection locked="0"/>
    </xf>
    <xf numFmtId="9" fontId="25" fillId="2" borderId="0" xfId="0" applyNumberFormat="1" applyFont="1" applyFill="1" applyAlignment="1" applyProtection="1">
      <alignment horizontal="center" vertical="center"/>
    </xf>
    <xf numFmtId="167" fontId="25" fillId="2" borderId="0" xfId="0" applyNumberFormat="1" applyFont="1" applyFill="1" applyAlignment="1" applyProtection="1">
      <alignment vertical="center"/>
    </xf>
    <xf numFmtId="167" fontId="0" fillId="12" borderId="0" xfId="0" applyNumberFormat="1" applyFill="1" applyAlignment="1">
      <alignment vertical="center"/>
    </xf>
    <xf numFmtId="164" fontId="0" fillId="0" borderId="0" xfId="0" applyNumberFormat="1" applyAlignment="1">
      <alignment vertical="center"/>
    </xf>
    <xf numFmtId="0" fontId="27" fillId="0" borderId="0" xfId="0" applyFont="1" applyAlignment="1" applyProtection="1">
      <alignment vertical="center"/>
    </xf>
    <xf numFmtId="164" fontId="7" fillId="7" borderId="0" xfId="0" applyNumberFormat="1" applyFont="1" applyFill="1" applyBorder="1" applyAlignment="1" applyProtection="1">
      <alignment horizontal="right" vertical="center"/>
    </xf>
    <xf numFmtId="164" fontId="28" fillId="7" borderId="0" xfId="0" applyNumberFormat="1" applyFont="1" applyFill="1" applyBorder="1" applyAlignment="1" applyProtection="1">
      <alignment horizontal="right" vertical="center" wrapText="1"/>
    </xf>
    <xf numFmtId="164" fontId="28" fillId="5" borderId="4" xfId="0" applyNumberFormat="1" applyFont="1" applyFill="1" applyBorder="1" applyAlignment="1" applyProtection="1">
      <alignment horizontal="center" vertical="center" wrapText="1"/>
    </xf>
    <xf numFmtId="164" fontId="28" fillId="7" borderId="0" xfId="0" applyNumberFormat="1" applyFont="1" applyFill="1" applyBorder="1" applyAlignment="1" applyProtection="1">
      <alignment horizontal="center" vertical="center" wrapText="1"/>
    </xf>
    <xf numFmtId="0" fontId="28" fillId="7" borderId="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</xf>
    <xf numFmtId="0" fontId="11" fillId="12" borderId="32" xfId="0" applyFont="1" applyFill="1" applyBorder="1" applyAlignment="1">
      <alignment horizontal="center" wrapText="1"/>
    </xf>
    <xf numFmtId="165" fontId="13" fillId="12" borderId="32" xfId="0" applyNumberFormat="1" applyFont="1" applyFill="1" applyBorder="1" applyAlignment="1">
      <alignment horizontal="center" wrapText="1" readingOrder="1"/>
    </xf>
    <xf numFmtId="0" fontId="25" fillId="2" borderId="0" xfId="0" quotePrefix="1" applyFont="1" applyFill="1" applyAlignment="1" applyProtection="1">
      <alignment vertical="center"/>
    </xf>
    <xf numFmtId="0" fontId="4" fillId="6" borderId="19" xfId="0" applyFont="1" applyFill="1" applyBorder="1" applyAlignment="1" applyProtection="1">
      <alignment horizontal="center" vertical="center"/>
    </xf>
    <xf numFmtId="0" fontId="29" fillId="2" borderId="0" xfId="0" applyFont="1" applyFill="1" applyAlignment="1" applyProtection="1">
      <alignment vertical="center"/>
    </xf>
    <xf numFmtId="0" fontId="29" fillId="2" borderId="0" xfId="0" quotePrefix="1" applyFont="1" applyFill="1" applyAlignment="1" applyProtection="1">
      <alignment vertical="center"/>
    </xf>
    <xf numFmtId="0" fontId="25" fillId="7" borderId="0" xfId="0" applyFont="1" applyFill="1" applyAlignment="1" applyProtection="1">
      <alignment vertical="center"/>
    </xf>
    <xf numFmtId="0" fontId="13" fillId="0" borderId="0" xfId="0" applyFont="1" applyAlignment="1">
      <alignment horizontal="center" vertical="center" wrapText="1" readingOrder="1"/>
    </xf>
    <xf numFmtId="0" fontId="13" fillId="3" borderId="0" xfId="0" applyFont="1" applyFill="1" applyAlignment="1">
      <alignment horizontal="center" vertical="center" wrapText="1" readingOrder="1"/>
    </xf>
    <xf numFmtId="0" fontId="31" fillId="14" borderId="0" xfId="0" applyFont="1" applyFill="1" applyAlignment="1">
      <alignment horizontal="center" vertical="center" wrapText="1" readingOrder="1"/>
    </xf>
    <xf numFmtId="0" fontId="31" fillId="14" borderId="42" xfId="0" applyFont="1" applyFill="1" applyBorder="1" applyAlignment="1">
      <alignment horizontal="center" vertical="center" wrapText="1" readingOrder="1"/>
    </xf>
    <xf numFmtId="0" fontId="31" fillId="14" borderId="43" xfId="0" applyFont="1" applyFill="1" applyBorder="1" applyAlignment="1">
      <alignment horizontal="center" vertical="center" wrapText="1" readingOrder="1"/>
    </xf>
    <xf numFmtId="0" fontId="32" fillId="14" borderId="44" xfId="0" applyFont="1" applyFill="1" applyBorder="1" applyAlignment="1">
      <alignment horizontal="center" vertical="center" wrapText="1" readingOrder="1"/>
    </xf>
    <xf numFmtId="0" fontId="32" fillId="14" borderId="38" xfId="0" applyFont="1" applyFill="1" applyBorder="1" applyAlignment="1">
      <alignment horizontal="center" vertical="center" wrapText="1" readingOrder="1"/>
    </xf>
    <xf numFmtId="0" fontId="31" fillId="14" borderId="45" xfId="0" applyFont="1" applyFill="1" applyBorder="1" applyAlignment="1">
      <alignment horizontal="left" wrapText="1" readingOrder="1"/>
    </xf>
    <xf numFmtId="0" fontId="31" fillId="14" borderId="0" xfId="0" applyFont="1" applyFill="1" applyAlignment="1">
      <alignment horizontal="center" wrapText="1" readingOrder="1"/>
    </xf>
    <xf numFmtId="0" fontId="31" fillId="14" borderId="46" xfId="0" applyFont="1" applyFill="1" applyBorder="1" applyAlignment="1">
      <alignment horizontal="center" vertical="center" wrapText="1" readingOrder="1"/>
    </xf>
    <xf numFmtId="0" fontId="11" fillId="0" borderId="46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 readingOrder="1"/>
    </xf>
    <xf numFmtId="0" fontId="11" fillId="0" borderId="38" xfId="0" applyFont="1" applyBorder="1" applyAlignment="1">
      <alignment vertical="center" wrapText="1"/>
    </xf>
    <xf numFmtId="0" fontId="13" fillId="0" borderId="45" xfId="0" applyFont="1" applyBorder="1" applyAlignment="1">
      <alignment horizontal="left" vertical="center" wrapText="1" readingOrder="1"/>
    </xf>
    <xf numFmtId="164" fontId="13" fillId="0" borderId="0" xfId="0" applyNumberFormat="1" applyFont="1" applyAlignment="1">
      <alignment horizontal="center" vertical="center" wrapText="1" readingOrder="1"/>
    </xf>
    <xf numFmtId="164" fontId="13" fillId="0" borderId="46" xfId="0" applyNumberFormat="1" applyFont="1" applyBorder="1" applyAlignment="1">
      <alignment horizontal="center" vertical="center" wrapText="1" readingOrder="1"/>
    </xf>
    <xf numFmtId="165" fontId="13" fillId="0" borderId="43" xfId="0" applyNumberFormat="1" applyFont="1" applyBorder="1" applyAlignment="1">
      <alignment horizontal="center" vertical="center" wrapText="1" readingOrder="1"/>
    </xf>
    <xf numFmtId="10" fontId="33" fillId="0" borderId="38" xfId="0" applyNumberFormat="1" applyFont="1" applyBorder="1" applyAlignment="1">
      <alignment horizontal="center" vertical="center" wrapText="1" readingOrder="1"/>
    </xf>
    <xf numFmtId="0" fontId="18" fillId="3" borderId="46" xfId="0" applyFont="1" applyFill="1" applyBorder="1" applyAlignment="1">
      <alignment horizontal="center" vertical="center" wrapText="1" readingOrder="1"/>
    </xf>
    <xf numFmtId="0" fontId="15" fillId="3" borderId="43" xfId="0" applyFont="1" applyFill="1" applyBorder="1" applyAlignment="1">
      <alignment horizontal="center" vertical="center" wrapText="1" readingOrder="1"/>
    </xf>
    <xf numFmtId="0" fontId="34" fillId="3" borderId="38" xfId="0" applyFont="1" applyFill="1" applyBorder="1" applyAlignment="1">
      <alignment horizontal="center" vertical="center" wrapText="1" readingOrder="1"/>
    </xf>
    <xf numFmtId="0" fontId="13" fillId="3" borderId="45" xfId="0" applyFont="1" applyFill="1" applyBorder="1" applyAlignment="1">
      <alignment horizontal="left" vertical="center" wrapText="1" readingOrder="1"/>
    </xf>
    <xf numFmtId="164" fontId="13" fillId="13" borderId="0" xfId="0" applyNumberFormat="1" applyFont="1" applyFill="1" applyAlignment="1">
      <alignment horizontal="center" vertical="center" wrapText="1" readingOrder="1"/>
    </xf>
    <xf numFmtId="164" fontId="13" fillId="13" borderId="46" xfId="0" applyNumberFormat="1" applyFont="1" applyFill="1" applyBorder="1" applyAlignment="1">
      <alignment horizontal="center" vertical="center" wrapText="1" readingOrder="1"/>
    </xf>
    <xf numFmtId="165" fontId="13" fillId="13" borderId="43" xfId="0" applyNumberFormat="1" applyFont="1" applyFill="1" applyBorder="1" applyAlignment="1">
      <alignment horizontal="center" vertical="center" wrapText="1" readingOrder="1"/>
    </xf>
    <xf numFmtId="10" fontId="33" fillId="13" borderId="38" xfId="0" applyNumberFormat="1" applyFont="1" applyFill="1" applyBorder="1" applyAlignment="1">
      <alignment horizontal="center" vertical="center" wrapText="1" readingOrder="1"/>
    </xf>
    <xf numFmtId="0" fontId="13" fillId="13" borderId="45" xfId="0" applyFont="1" applyFill="1" applyBorder="1" applyAlignment="1">
      <alignment horizontal="left" vertical="center" wrapText="1" readingOrder="1"/>
    </xf>
    <xf numFmtId="0" fontId="13" fillId="13" borderId="0" xfId="0" applyFont="1" applyFill="1" applyAlignment="1">
      <alignment horizontal="center" vertical="center" wrapText="1" readingOrder="1"/>
    </xf>
    <xf numFmtId="0" fontId="13" fillId="0" borderId="43" xfId="0" applyFont="1" applyBorder="1" applyAlignment="1">
      <alignment horizontal="center" vertical="center" wrapText="1" readingOrder="1"/>
    </xf>
    <xf numFmtId="0" fontId="11" fillId="0" borderId="38" xfId="0" applyFont="1" applyBorder="1" applyAlignment="1">
      <alignment horizontal="center" vertical="center" wrapText="1"/>
    </xf>
    <xf numFmtId="0" fontId="18" fillId="15" borderId="45" xfId="0" applyFont="1" applyFill="1" applyBorder="1" applyAlignment="1">
      <alignment horizontal="center" wrapText="1" readingOrder="1"/>
    </xf>
    <xf numFmtId="0" fontId="18" fillId="15" borderId="0" xfId="0" applyFont="1" applyFill="1" applyAlignment="1">
      <alignment horizontal="center" wrapText="1" readingOrder="1"/>
    </xf>
    <xf numFmtId="164" fontId="18" fillId="15" borderId="0" xfId="0" applyNumberFormat="1" applyFont="1" applyFill="1" applyAlignment="1">
      <alignment horizontal="center" wrapText="1" readingOrder="1"/>
    </xf>
    <xf numFmtId="0" fontId="13" fillId="15" borderId="0" xfId="0" applyFont="1" applyFill="1" applyAlignment="1">
      <alignment horizontal="center" wrapText="1" readingOrder="1"/>
    </xf>
    <xf numFmtId="0" fontId="33" fillId="15" borderId="38" xfId="0" applyFont="1" applyFill="1" applyBorder="1" applyAlignment="1">
      <alignment horizontal="center" wrapText="1" readingOrder="1"/>
    </xf>
    <xf numFmtId="0" fontId="13" fillId="15" borderId="38" xfId="0" applyFont="1" applyFill="1" applyBorder="1" applyAlignment="1">
      <alignment horizontal="center" wrapText="1" readingOrder="1"/>
    </xf>
    <xf numFmtId="10" fontId="18" fillId="15" borderId="48" xfId="0" applyNumberFormat="1" applyFont="1" applyFill="1" applyBorder="1" applyAlignment="1">
      <alignment horizontal="center" wrapText="1" readingOrder="1"/>
    </xf>
    <xf numFmtId="0" fontId="18" fillId="15" borderId="48" xfId="0" applyFont="1" applyFill="1" applyBorder="1" applyAlignment="1">
      <alignment horizontal="center" wrapText="1" readingOrder="1"/>
    </xf>
    <xf numFmtId="0" fontId="18" fillId="15" borderId="49" xfId="0" applyFont="1" applyFill="1" applyBorder="1" applyAlignment="1">
      <alignment horizontal="center" wrapText="1" readingOrder="1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35" fillId="0" borderId="0" xfId="0" applyFont="1"/>
    <xf numFmtId="10" fontId="0" fillId="0" borderId="0" xfId="0" applyNumberFormat="1" applyFont="1"/>
    <xf numFmtId="10" fontId="26" fillId="12" borderId="0" xfId="0" applyNumberFormat="1" applyFont="1" applyFill="1"/>
    <xf numFmtId="0" fontId="36" fillId="0" borderId="0" xfId="0" applyFont="1"/>
    <xf numFmtId="0" fontId="0" fillId="0" borderId="0" xfId="0" applyFont="1" applyAlignment="1">
      <alignment wrapText="1"/>
    </xf>
    <xf numFmtId="0" fontId="38" fillId="17" borderId="29" xfId="0" applyFont="1" applyFill="1" applyBorder="1" applyAlignment="1">
      <alignment horizontal="center" vertical="center" wrapText="1"/>
    </xf>
    <xf numFmtId="0" fontId="39" fillId="16" borderId="30" xfId="0" applyFont="1" applyFill="1" applyBorder="1" applyAlignment="1">
      <alignment wrapText="1"/>
    </xf>
    <xf numFmtId="0" fontId="39" fillId="16" borderId="0" xfId="0" applyFont="1" applyFill="1" applyBorder="1" applyAlignment="1">
      <alignment horizontal="center" wrapText="1"/>
    </xf>
    <xf numFmtId="0" fontId="37" fillId="16" borderId="0" xfId="0" applyFont="1" applyFill="1" applyBorder="1" applyAlignment="1">
      <alignment horizontal="center" vertical="center" wrapText="1"/>
    </xf>
    <xf numFmtId="0" fontId="39" fillId="17" borderId="30" xfId="0" applyFont="1" applyFill="1" applyBorder="1" applyAlignment="1">
      <alignment wrapText="1"/>
    </xf>
    <xf numFmtId="0" fontId="39" fillId="17" borderId="0" xfId="0" applyFont="1" applyFill="1" applyBorder="1" applyAlignment="1">
      <alignment horizontal="center" wrapText="1"/>
    </xf>
    <xf numFmtId="0" fontId="37" fillId="17" borderId="0" xfId="0" applyFont="1" applyFill="1" applyBorder="1" applyAlignment="1">
      <alignment horizontal="center" vertical="center" wrapText="1"/>
    </xf>
    <xf numFmtId="0" fontId="40" fillId="17" borderId="32" xfId="0" applyFont="1" applyFill="1" applyBorder="1" applyAlignment="1">
      <alignment horizontal="center" vertical="center" wrapText="1"/>
    </xf>
    <xf numFmtId="0" fontId="41" fillId="0" borderId="30" xfId="0" applyFont="1" applyBorder="1" applyAlignment="1">
      <alignment vertical="center" wrapText="1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40" fillId="0" borderId="32" xfId="0" applyFont="1" applyBorder="1" applyAlignment="1">
      <alignment vertical="center" wrapText="1"/>
    </xf>
    <xf numFmtId="0" fontId="42" fillId="0" borderId="3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167" fontId="42" fillId="0" borderId="0" xfId="0" applyNumberFormat="1" applyFont="1" applyBorder="1" applyAlignment="1">
      <alignment horizontal="center" vertical="center" wrapText="1"/>
    </xf>
    <xf numFmtId="9" fontId="42" fillId="0" borderId="0" xfId="5" applyNumberFormat="1" applyFont="1" applyBorder="1" applyAlignment="1">
      <alignment horizontal="center" vertical="center" wrapText="1"/>
    </xf>
    <xf numFmtId="168" fontId="42" fillId="0" borderId="0" xfId="0" applyNumberFormat="1" applyFont="1" applyBorder="1" applyAlignment="1">
      <alignment horizontal="center" vertical="center" wrapText="1"/>
    </xf>
    <xf numFmtId="167" fontId="42" fillId="0" borderId="52" xfId="0" applyNumberFormat="1" applyFont="1" applyBorder="1" applyAlignment="1">
      <alignment horizontal="center" vertical="center" wrapText="1"/>
    </xf>
    <xf numFmtId="167" fontId="42" fillId="0" borderId="0" xfId="5" applyNumberFormat="1" applyFont="1" applyBorder="1" applyAlignment="1">
      <alignment horizontal="center" vertical="center" wrapText="1"/>
    </xf>
    <xf numFmtId="169" fontId="42" fillId="0" borderId="0" xfId="5" applyNumberFormat="1" applyFont="1" applyFill="1" applyBorder="1" applyAlignment="1">
      <alignment horizontal="center" vertical="center" wrapText="1"/>
    </xf>
    <xf numFmtId="168" fontId="42" fillId="0" borderId="0" xfId="5" applyNumberFormat="1" applyFont="1" applyBorder="1" applyAlignment="1">
      <alignment horizontal="center" vertical="center" wrapText="1"/>
    </xf>
    <xf numFmtId="168" fontId="42" fillId="0" borderId="52" xfId="0" applyNumberFormat="1" applyFont="1" applyBorder="1" applyAlignment="1">
      <alignment horizontal="center" vertical="center" wrapText="1"/>
    </xf>
    <xf numFmtId="169" fontId="42" fillId="0" borderId="32" xfId="5" applyNumberFormat="1" applyFont="1" applyFill="1" applyBorder="1" applyAlignment="1">
      <alignment horizontal="center" vertical="center" wrapText="1"/>
    </xf>
    <xf numFmtId="0" fontId="41" fillId="3" borderId="30" xfId="0" applyFont="1" applyFill="1" applyBorder="1" applyAlignment="1">
      <alignment vertical="center" wrapText="1"/>
    </xf>
    <xf numFmtId="0" fontId="41" fillId="3" borderId="0" xfId="0" applyFont="1" applyFill="1" applyBorder="1" applyAlignment="1">
      <alignment horizontal="center" vertical="center" wrapText="1"/>
    </xf>
    <xf numFmtId="167" fontId="25" fillId="3" borderId="0" xfId="0" applyNumberFormat="1" applyFont="1" applyFill="1" applyBorder="1" applyAlignment="1">
      <alignment horizontal="center" vertical="center" wrapText="1"/>
    </xf>
    <xf numFmtId="167" fontId="41" fillId="3" borderId="0" xfId="0" applyNumberFormat="1" applyFont="1" applyFill="1" applyBorder="1" applyAlignment="1">
      <alignment horizontal="center" vertical="center" wrapText="1"/>
    </xf>
    <xf numFmtId="167" fontId="25" fillId="3" borderId="52" xfId="0" applyNumberFormat="1" applyFont="1" applyFill="1" applyBorder="1" applyAlignment="1">
      <alignment horizontal="center" vertical="center" wrapText="1"/>
    </xf>
    <xf numFmtId="169" fontId="25" fillId="3" borderId="32" xfId="5" applyNumberFormat="1" applyFont="1" applyFill="1" applyBorder="1" applyAlignment="1">
      <alignment horizontal="center" vertical="center" wrapText="1"/>
    </xf>
    <xf numFmtId="169" fontId="25" fillId="3" borderId="0" xfId="5" applyNumberFormat="1" applyFont="1" applyFill="1" applyBorder="1" applyAlignment="1">
      <alignment horizontal="center" vertical="center" wrapText="1"/>
    </xf>
    <xf numFmtId="168" fontId="25" fillId="3" borderId="52" xfId="0" applyNumberFormat="1" applyFont="1" applyFill="1" applyBorder="1" applyAlignment="1">
      <alignment horizontal="center" vertical="center" wrapText="1"/>
    </xf>
    <xf numFmtId="0" fontId="42" fillId="3" borderId="30" xfId="0" applyFont="1" applyFill="1" applyBorder="1" applyAlignment="1">
      <alignment vertical="center" wrapText="1"/>
    </xf>
    <xf numFmtId="0" fontId="42" fillId="3" borderId="0" xfId="0" applyFont="1" applyFill="1" applyBorder="1" applyAlignment="1">
      <alignment horizontal="center" vertical="center" wrapText="1"/>
    </xf>
    <xf numFmtId="167" fontId="42" fillId="13" borderId="0" xfId="0" applyNumberFormat="1" applyFont="1" applyFill="1" applyBorder="1" applyAlignment="1">
      <alignment horizontal="center" vertical="center" wrapText="1"/>
    </xf>
    <xf numFmtId="167" fontId="42" fillId="3" borderId="0" xfId="0" applyNumberFormat="1" applyFont="1" applyFill="1" applyBorder="1" applyAlignment="1">
      <alignment horizontal="center" vertical="center" wrapText="1"/>
    </xf>
    <xf numFmtId="9" fontId="42" fillId="13" borderId="0" xfId="5" applyFont="1" applyFill="1" applyBorder="1" applyAlignment="1">
      <alignment horizontal="center" vertical="center" wrapText="1"/>
    </xf>
    <xf numFmtId="167" fontId="42" fillId="18" borderId="52" xfId="0" applyNumberFormat="1" applyFont="1" applyFill="1" applyBorder="1" applyAlignment="1">
      <alignment horizontal="center" vertical="center" wrapText="1"/>
    </xf>
    <xf numFmtId="167" fontId="42" fillId="18" borderId="0" xfId="5" applyNumberFormat="1" applyFont="1" applyFill="1" applyBorder="1" applyAlignment="1">
      <alignment horizontal="center" vertical="center" wrapText="1"/>
    </xf>
    <xf numFmtId="169" fontId="42" fillId="18" borderId="32" xfId="5" applyNumberFormat="1" applyFont="1" applyFill="1" applyBorder="1" applyAlignment="1">
      <alignment horizontal="center" vertical="center" wrapText="1"/>
    </xf>
    <xf numFmtId="168" fontId="42" fillId="18" borderId="0" xfId="5" applyNumberFormat="1" applyFont="1" applyFill="1" applyBorder="1" applyAlignment="1">
      <alignment horizontal="center" vertical="center" wrapText="1"/>
    </xf>
    <xf numFmtId="169" fontId="42" fillId="18" borderId="0" xfId="5" applyNumberFormat="1" applyFont="1" applyFill="1" applyBorder="1" applyAlignment="1">
      <alignment horizontal="center" vertical="center" wrapText="1"/>
    </xf>
    <xf numFmtId="168" fontId="42" fillId="18" borderId="0" xfId="0" applyNumberFormat="1" applyFont="1" applyFill="1" applyBorder="1" applyAlignment="1">
      <alignment horizontal="center" vertical="center" wrapText="1"/>
    </xf>
    <xf numFmtId="168" fontId="42" fillId="18" borderId="52" xfId="0" applyNumberFormat="1" applyFont="1" applyFill="1" applyBorder="1" applyAlignment="1">
      <alignment horizontal="center" vertical="center" wrapText="1"/>
    </xf>
    <xf numFmtId="0" fontId="42" fillId="13" borderId="30" xfId="0" applyFont="1" applyFill="1" applyBorder="1" applyAlignment="1">
      <alignment vertical="center" wrapText="1"/>
    </xf>
    <xf numFmtId="0" fontId="42" fillId="13" borderId="0" xfId="0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167" fontId="42" fillId="0" borderId="0" xfId="0" applyNumberFormat="1" applyFont="1" applyFill="1" applyBorder="1" applyAlignment="1">
      <alignment horizontal="center" vertical="center" wrapText="1"/>
    </xf>
    <xf numFmtId="9" fontId="42" fillId="0" borderId="0" xfId="5" applyFont="1" applyFill="1" applyBorder="1" applyAlignment="1">
      <alignment horizontal="center" vertical="center" wrapText="1"/>
    </xf>
    <xf numFmtId="167" fontId="42" fillId="0" borderId="52" xfId="0" applyNumberFormat="1" applyFont="1" applyFill="1" applyBorder="1" applyAlignment="1">
      <alignment horizontal="center" vertical="center" wrapText="1"/>
    </xf>
    <xf numFmtId="168" fontId="42" fillId="0" borderId="52" xfId="0" applyNumberFormat="1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vertical="center" wrapText="1"/>
    </xf>
    <xf numFmtId="169" fontId="42" fillId="0" borderId="32" xfId="5" applyNumberFormat="1" applyFont="1" applyBorder="1" applyAlignment="1">
      <alignment horizontal="center" vertical="center" wrapText="1"/>
    </xf>
    <xf numFmtId="0" fontId="41" fillId="18" borderId="30" xfId="0" applyFont="1" applyFill="1" applyBorder="1" applyAlignment="1">
      <alignment vertical="center" wrapText="1"/>
    </xf>
    <xf numFmtId="0" fontId="41" fillId="18" borderId="0" xfId="0" applyFont="1" applyFill="1" applyBorder="1" applyAlignment="1">
      <alignment horizontal="center" vertical="center" wrapText="1"/>
    </xf>
    <xf numFmtId="9" fontId="0" fillId="18" borderId="0" xfId="5" applyFont="1" applyFill="1" applyBorder="1" applyAlignment="1">
      <alignment vertical="center" wrapText="1"/>
    </xf>
    <xf numFmtId="0" fontId="0" fillId="18" borderId="0" xfId="0" applyFont="1" applyFill="1" applyBorder="1" applyAlignment="1">
      <alignment vertical="center" wrapText="1"/>
    </xf>
    <xf numFmtId="0" fontId="0" fillId="18" borderId="30" xfId="0" applyFont="1" applyFill="1" applyBorder="1" applyAlignment="1">
      <alignment vertical="center" wrapText="1"/>
    </xf>
    <xf numFmtId="0" fontId="0" fillId="18" borderId="52" xfId="0" applyFont="1" applyFill="1" applyBorder="1" applyAlignment="1">
      <alignment vertical="center" wrapText="1"/>
    </xf>
    <xf numFmtId="0" fontId="40" fillId="18" borderId="0" xfId="0" applyFont="1" applyFill="1" applyBorder="1" applyAlignment="1">
      <alignment vertical="center" wrapText="1"/>
    </xf>
    <xf numFmtId="0" fontId="40" fillId="18" borderId="32" xfId="0" applyFont="1" applyFill="1" applyBorder="1" applyAlignment="1">
      <alignment vertical="center" wrapText="1"/>
    </xf>
    <xf numFmtId="0" fontId="40" fillId="18" borderId="30" xfId="0" applyFont="1" applyFill="1" applyBorder="1" applyAlignment="1">
      <alignment vertical="center" wrapText="1"/>
    </xf>
    <xf numFmtId="0" fontId="42" fillId="18" borderId="30" xfId="0" applyFont="1" applyFill="1" applyBorder="1" applyAlignment="1">
      <alignment vertical="center" wrapText="1"/>
    </xf>
    <xf numFmtId="0" fontId="42" fillId="18" borderId="0" xfId="0" applyFont="1" applyFill="1" applyBorder="1" applyAlignment="1">
      <alignment horizontal="center" vertical="center" wrapText="1"/>
    </xf>
    <xf numFmtId="165" fontId="42" fillId="18" borderId="0" xfId="0" applyNumberFormat="1" applyFont="1" applyFill="1" applyBorder="1" applyAlignment="1">
      <alignment horizontal="center" vertical="center" wrapText="1"/>
    </xf>
    <xf numFmtId="165" fontId="42" fillId="18" borderId="30" xfId="0" applyNumberFormat="1" applyFont="1" applyFill="1" applyBorder="1" applyAlignment="1">
      <alignment horizontal="center" vertical="center" wrapText="1"/>
    </xf>
    <xf numFmtId="165" fontId="42" fillId="18" borderId="52" xfId="0" applyNumberFormat="1" applyFont="1" applyFill="1" applyBorder="1" applyAlignment="1">
      <alignment horizontal="center" vertical="center" wrapText="1"/>
    </xf>
    <xf numFmtId="165" fontId="43" fillId="18" borderId="0" xfId="0" applyNumberFormat="1" applyFont="1" applyFill="1" applyBorder="1" applyAlignment="1">
      <alignment horizontal="center" vertical="center" wrapText="1"/>
    </xf>
    <xf numFmtId="165" fontId="43" fillId="18" borderId="32" xfId="0" applyNumberFormat="1" applyFont="1" applyFill="1" applyBorder="1" applyAlignment="1">
      <alignment horizontal="center" vertical="center" wrapText="1"/>
    </xf>
    <xf numFmtId="165" fontId="43" fillId="18" borderId="30" xfId="0" applyNumberFormat="1" applyFont="1" applyFill="1" applyBorder="1" applyAlignment="1">
      <alignment horizontal="center" vertical="center" wrapText="1"/>
    </xf>
    <xf numFmtId="165" fontId="42" fillId="0" borderId="0" xfId="0" applyNumberFormat="1" applyFont="1" applyFill="1" applyBorder="1" applyAlignment="1">
      <alignment horizontal="center" vertical="center" wrapText="1"/>
    </xf>
    <xf numFmtId="165" fontId="42" fillId="0" borderId="30" xfId="0" applyNumberFormat="1" applyFont="1" applyFill="1" applyBorder="1" applyAlignment="1">
      <alignment horizontal="center" vertical="center" wrapText="1"/>
    </xf>
    <xf numFmtId="165" fontId="42" fillId="0" borderId="52" xfId="0" applyNumberFormat="1" applyFont="1" applyFill="1" applyBorder="1" applyAlignment="1">
      <alignment horizontal="center" vertical="center" wrapText="1"/>
    </xf>
    <xf numFmtId="165" fontId="43" fillId="0" borderId="0" xfId="0" applyNumberFormat="1" applyFont="1" applyFill="1" applyBorder="1" applyAlignment="1">
      <alignment horizontal="center" vertical="center" wrapText="1"/>
    </xf>
    <xf numFmtId="165" fontId="43" fillId="0" borderId="32" xfId="0" applyNumberFormat="1" applyFont="1" applyFill="1" applyBorder="1" applyAlignment="1">
      <alignment horizontal="center" vertical="center" wrapText="1"/>
    </xf>
    <xf numFmtId="165" fontId="43" fillId="0" borderId="30" xfId="0" applyNumberFormat="1" applyFont="1" applyFill="1" applyBorder="1" applyAlignment="1">
      <alignment horizontal="center" vertical="center" wrapText="1"/>
    </xf>
    <xf numFmtId="165" fontId="42" fillId="0" borderId="32" xfId="0" applyNumberFormat="1" applyFont="1" applyFill="1" applyBorder="1" applyAlignment="1">
      <alignment horizontal="center" vertical="center" wrapText="1"/>
    </xf>
    <xf numFmtId="0" fontId="0" fillId="5" borderId="30" xfId="0" applyFont="1" applyFill="1" applyBorder="1"/>
    <xf numFmtId="1" fontId="0" fillId="5" borderId="0" xfId="1" applyNumberFormat="1" applyFont="1" applyFill="1" applyBorder="1" applyAlignment="1">
      <alignment horizontal="center"/>
    </xf>
    <xf numFmtId="167" fontId="0" fillId="5" borderId="0" xfId="1" applyNumberFormat="1" applyFont="1" applyFill="1" applyBorder="1" applyAlignment="1">
      <alignment horizontal="center"/>
    </xf>
    <xf numFmtId="167" fontId="0" fillId="5" borderId="0" xfId="0" applyNumberFormat="1" applyFont="1" applyFill="1" applyBorder="1" applyAlignment="1">
      <alignment horizontal="center"/>
    </xf>
    <xf numFmtId="167" fontId="0" fillId="5" borderId="30" xfId="1" applyNumberFormat="1" applyFont="1" applyFill="1" applyBorder="1" applyAlignment="1">
      <alignment horizontal="center"/>
    </xf>
    <xf numFmtId="167" fontId="0" fillId="5" borderId="52" xfId="1" applyNumberFormat="1" applyFont="1" applyFill="1" applyBorder="1" applyAlignment="1">
      <alignment horizontal="center"/>
    </xf>
    <xf numFmtId="167" fontId="0" fillId="5" borderId="32" xfId="1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33" xfId="0" applyFont="1" applyFill="1" applyBorder="1"/>
    <xf numFmtId="0" fontId="0" fillId="5" borderId="36" xfId="0" applyFont="1" applyFill="1" applyBorder="1" applyAlignment="1">
      <alignment horizontal="center"/>
    </xf>
    <xf numFmtId="167" fontId="0" fillId="5" borderId="36" xfId="1" applyNumberFormat="1" applyFont="1" applyFill="1" applyBorder="1" applyAlignment="1">
      <alignment horizontal="center"/>
    </xf>
    <xf numFmtId="167" fontId="0" fillId="5" borderId="36" xfId="0" applyNumberFormat="1" applyFont="1" applyFill="1" applyBorder="1" applyAlignment="1">
      <alignment horizontal="center"/>
    </xf>
    <xf numFmtId="167" fontId="0" fillId="5" borderId="33" xfId="1" applyNumberFormat="1" applyFont="1" applyFill="1" applyBorder="1" applyAlignment="1">
      <alignment horizontal="center"/>
    </xf>
    <xf numFmtId="169" fontId="26" fillId="5" borderId="36" xfId="5" applyNumberFormat="1" applyFont="1" applyFill="1" applyBorder="1" applyAlignment="1">
      <alignment horizontal="center"/>
    </xf>
    <xf numFmtId="169" fontId="26" fillId="5" borderId="53" xfId="5" applyNumberFormat="1" applyFont="1" applyFill="1" applyBorder="1" applyAlignment="1">
      <alignment horizontal="center"/>
    </xf>
    <xf numFmtId="169" fontId="26" fillId="5" borderId="37" xfId="5" applyNumberFormat="1" applyFont="1" applyFill="1" applyBorder="1" applyAlignment="1">
      <alignment horizontal="center"/>
    </xf>
    <xf numFmtId="168" fontId="0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168" fontId="0" fillId="0" borderId="0" xfId="0" applyNumberFormat="1" applyFont="1"/>
    <xf numFmtId="167" fontId="0" fillId="0" borderId="0" xfId="0" applyNumberFormat="1" applyFont="1"/>
    <xf numFmtId="167" fontId="0" fillId="0" borderId="25" xfId="0" applyNumberFormat="1" applyFont="1" applyBorder="1"/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167" fontId="0" fillId="0" borderId="3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32" xfId="0" applyFont="1" applyBorder="1" applyAlignment="1">
      <alignment horizontal="center" wrapText="1"/>
    </xf>
    <xf numFmtId="169" fontId="0" fillId="0" borderId="0" xfId="5" applyNumberFormat="1" applyFont="1"/>
    <xf numFmtId="0" fontId="0" fillId="0" borderId="33" xfId="0" applyFont="1" applyBorder="1"/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5" fillId="0" borderId="0" xfId="0" applyFont="1" applyAlignment="1">
      <alignment vertical="center"/>
    </xf>
    <xf numFmtId="169" fontId="0" fillId="0" borderId="0" xfId="5" applyNumberFormat="1" applyFont="1" applyAlignment="1">
      <alignment vertical="center"/>
    </xf>
    <xf numFmtId="168" fontId="0" fillId="0" borderId="0" xfId="0" applyNumberFormat="1"/>
    <xf numFmtId="0" fontId="4" fillId="6" borderId="15" xfId="0" applyFont="1" applyFill="1" applyBorder="1" applyAlignment="1" applyProtection="1">
      <alignment horizontal="center" vertical="center"/>
    </xf>
    <xf numFmtId="0" fontId="4" fillId="6" borderId="18" xfId="0" applyFont="1" applyFill="1" applyBorder="1" applyAlignment="1" applyProtection="1">
      <alignment horizontal="center" vertical="center"/>
    </xf>
    <xf numFmtId="0" fontId="4" fillId="6" borderId="16" xfId="0" applyFont="1" applyFill="1" applyBorder="1" applyAlignment="1" applyProtection="1">
      <alignment horizontal="center" vertical="center"/>
    </xf>
    <xf numFmtId="0" fontId="4" fillId="6" borderId="19" xfId="0" applyFont="1" applyFill="1" applyBorder="1" applyAlignment="1" applyProtection="1">
      <alignment horizontal="center" vertical="center"/>
    </xf>
    <xf numFmtId="166" fontId="4" fillId="6" borderId="16" xfId="1" applyFont="1" applyFill="1" applyBorder="1" applyAlignment="1" applyProtection="1">
      <alignment horizontal="center" vertical="center"/>
    </xf>
    <xf numFmtId="0" fontId="4" fillId="6" borderId="17" xfId="0" applyFont="1" applyFill="1" applyBorder="1" applyAlignment="1" applyProtection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8" fillId="11" borderId="23" xfId="0" applyFont="1" applyFill="1" applyBorder="1" applyAlignment="1">
      <alignment horizontal="center" wrapText="1" readingOrder="1"/>
    </xf>
    <xf numFmtId="0" fontId="18" fillId="11" borderId="0" xfId="0" applyFont="1" applyFill="1" applyBorder="1" applyAlignment="1">
      <alignment horizontal="center" wrapText="1" readingOrder="1"/>
    </xf>
    <xf numFmtId="0" fontId="18" fillId="11" borderId="32" xfId="0" applyFont="1" applyFill="1" applyBorder="1" applyAlignment="1">
      <alignment horizontal="center" wrapText="1" readingOrder="1"/>
    </xf>
    <xf numFmtId="0" fontId="20" fillId="10" borderId="27" xfId="0" applyFont="1" applyFill="1" applyBorder="1" applyAlignment="1">
      <alignment horizontal="center" wrapText="1" readingOrder="1"/>
    </xf>
    <xf numFmtId="0" fontId="20" fillId="10" borderId="28" xfId="0" applyFont="1" applyFill="1" applyBorder="1" applyAlignment="1">
      <alignment horizontal="center" wrapText="1" readingOrder="1"/>
    </xf>
    <xf numFmtId="0" fontId="20" fillId="10" borderId="29" xfId="0" applyFont="1" applyFill="1" applyBorder="1" applyAlignment="1">
      <alignment horizontal="center" wrapText="1" readingOrder="1"/>
    </xf>
    <xf numFmtId="0" fontId="13" fillId="3" borderId="7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37" fillId="17" borderId="50" xfId="0" applyFont="1" applyFill="1" applyBorder="1" applyAlignment="1">
      <alignment horizontal="center" vertical="center" wrapText="1"/>
    </xf>
    <xf numFmtId="0" fontId="0" fillId="17" borderId="52" xfId="0" applyFill="1" applyBorder="1" applyAlignment="1">
      <alignment horizontal="center" vertical="center" wrapText="1"/>
    </xf>
    <xf numFmtId="0" fontId="38" fillId="17" borderId="28" xfId="0" applyFont="1" applyFill="1" applyBorder="1" applyAlignment="1">
      <alignment horizontal="center" vertical="center" wrapText="1"/>
    </xf>
    <xf numFmtId="0" fontId="38" fillId="17" borderId="0" xfId="0" applyFont="1" applyFill="1" applyBorder="1" applyAlignment="1">
      <alignment horizontal="center" vertical="center" wrapText="1"/>
    </xf>
    <xf numFmtId="0" fontId="40" fillId="17" borderId="0" xfId="0" applyFont="1" applyFill="1" applyBorder="1" applyAlignment="1">
      <alignment horizontal="center" vertical="center" wrapText="1"/>
    </xf>
    <xf numFmtId="0" fontId="41" fillId="0" borderId="3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41" fillId="3" borderId="30" xfId="0" applyFont="1" applyFill="1" applyBorder="1" applyAlignment="1">
      <alignment horizontal="left" vertical="center" wrapText="1"/>
    </xf>
    <xf numFmtId="0" fontId="41" fillId="3" borderId="0" xfId="0" applyFont="1" applyFill="1" applyBorder="1" applyAlignment="1">
      <alignment horizontal="left" vertical="center" wrapText="1"/>
    </xf>
    <xf numFmtId="0" fontId="37" fillId="17" borderId="25" xfId="0" applyFont="1" applyFill="1" applyBorder="1" applyAlignment="1">
      <alignment horizontal="center" vertical="center" wrapText="1"/>
    </xf>
    <xf numFmtId="0" fontId="37" fillId="17" borderId="28" xfId="0" applyFont="1" applyFill="1" applyBorder="1" applyAlignment="1">
      <alignment horizontal="center" vertical="center" wrapText="1"/>
    </xf>
    <xf numFmtId="0" fontId="38" fillId="16" borderId="29" xfId="0" applyFont="1" applyFill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37" fillId="17" borderId="51" xfId="0" applyFont="1" applyFill="1" applyBorder="1" applyAlignment="1">
      <alignment horizontal="center" vertical="center" wrapText="1"/>
    </xf>
    <xf numFmtId="0" fontId="37" fillId="17" borderId="52" xfId="0" applyFont="1" applyFill="1" applyBorder="1" applyAlignment="1">
      <alignment horizontal="center" vertical="center" wrapText="1"/>
    </xf>
    <xf numFmtId="0" fontId="38" fillId="17" borderId="29" xfId="0" applyFont="1" applyFill="1" applyBorder="1" applyAlignment="1">
      <alignment horizontal="center" vertical="center" wrapText="1"/>
    </xf>
    <xf numFmtId="0" fontId="38" fillId="17" borderId="32" xfId="0" applyFont="1" applyFill="1" applyBorder="1" applyAlignment="1">
      <alignment horizontal="center" vertical="center" wrapText="1"/>
    </xf>
    <xf numFmtId="0" fontId="38" fillId="16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11" fillId="14" borderId="39" xfId="0" applyFont="1" applyFill="1" applyBorder="1" applyAlignment="1">
      <alignment horizontal="center" vertical="center" wrapText="1"/>
    </xf>
    <xf numFmtId="0" fontId="11" fillId="14" borderId="40" xfId="0" applyFont="1" applyFill="1" applyBorder="1" applyAlignment="1">
      <alignment horizontal="center" vertical="center" wrapText="1"/>
    </xf>
    <xf numFmtId="0" fontId="11" fillId="14" borderId="41" xfId="0" applyFont="1" applyFill="1" applyBorder="1" applyAlignment="1">
      <alignment horizontal="center" vertical="center" wrapText="1"/>
    </xf>
    <xf numFmtId="0" fontId="18" fillId="0" borderId="45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 readingOrder="1"/>
    </xf>
    <xf numFmtId="0" fontId="18" fillId="3" borderId="45" xfId="0" applyFont="1" applyFill="1" applyBorder="1" applyAlignment="1">
      <alignment horizontal="left" vertical="center" wrapText="1" readingOrder="1"/>
    </xf>
    <xf numFmtId="0" fontId="18" fillId="3" borderId="0" xfId="0" applyFont="1" applyFill="1" applyBorder="1" applyAlignment="1">
      <alignment horizontal="left" vertical="center" wrapText="1" readingOrder="1"/>
    </xf>
    <xf numFmtId="0" fontId="18" fillId="15" borderId="45" xfId="0" applyFont="1" applyFill="1" applyBorder="1" applyAlignment="1">
      <alignment horizontal="left" wrapText="1" readingOrder="1"/>
    </xf>
    <xf numFmtId="0" fontId="18" fillId="15" borderId="0" xfId="0" applyFont="1" applyFill="1" applyBorder="1" applyAlignment="1">
      <alignment horizontal="left" wrapText="1" readingOrder="1"/>
    </xf>
    <xf numFmtId="0" fontId="18" fillId="15" borderId="47" xfId="0" applyFont="1" applyFill="1" applyBorder="1" applyAlignment="1">
      <alignment horizontal="left" wrapText="1" readingOrder="1"/>
    </xf>
    <xf numFmtId="0" fontId="18" fillId="15" borderId="48" xfId="0" applyFont="1" applyFill="1" applyBorder="1" applyAlignment="1">
      <alignment horizontal="left" wrapText="1" readingOrder="1"/>
    </xf>
    <xf numFmtId="0" fontId="37" fillId="16" borderId="25" xfId="0" applyFont="1" applyFill="1" applyBorder="1" applyAlignment="1">
      <alignment horizontal="center" vertical="center" wrapText="1"/>
    </xf>
    <xf numFmtId="0" fontId="37" fillId="16" borderId="28" xfId="0" applyFont="1" applyFill="1" applyBorder="1" applyAlignment="1">
      <alignment horizontal="center" vertical="center" wrapText="1"/>
    </xf>
    <xf numFmtId="0" fontId="37" fillId="16" borderId="50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</cellXfs>
  <cellStyles count="6">
    <cellStyle name="Currency" xfId="1" builtinId="4"/>
    <cellStyle name="Currency 2" xfId="2"/>
    <cellStyle name="Normal" xfId="0" builtinId="0"/>
    <cellStyle name="Normal 2" xfId="3"/>
    <cellStyle name="Percent" xfId="5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Drop" dropStyle="combo" dx="16" fmlaLink="$K$6" fmlaRange="Inputs!$C$22:$C$25" noThreeD="1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2235200</xdr:colOff>
          <xdr:row>4</xdr:row>
          <xdr:rowOff>165100</xdr:rowOff>
        </xdr:from>
        <xdr:to>
          <xdr:col>1</xdr:col>
          <xdr:colOff>1600200</xdr:colOff>
          <xdr:row>5</xdr:row>
          <xdr:rowOff>177800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114300</xdr:colOff>
      <xdr:row>1</xdr:row>
      <xdr:rowOff>76200</xdr:rowOff>
    </xdr:from>
    <xdr:to>
      <xdr:col>27</xdr:col>
      <xdr:colOff>291892</xdr:colOff>
      <xdr:row>28</xdr:row>
      <xdr:rowOff>173473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0" y="266700"/>
          <a:ext cx="9321592" cy="5755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00B050"/>
    <pageSetUpPr fitToPage="1"/>
  </sheetPr>
  <dimension ref="A1:CD59"/>
  <sheetViews>
    <sheetView tabSelected="1" zoomScale="80" zoomScaleNormal="80" zoomScalePageLayoutView="80" workbookViewId="0"/>
  </sheetViews>
  <sheetFormatPr baseColWidth="10" defaultColWidth="8.83203125" defaultRowHeight="14" x14ac:dyDescent="0"/>
  <cols>
    <col min="1" max="1" width="37.6640625" style="2" customWidth="1"/>
    <col min="2" max="2" width="24.1640625" style="2" customWidth="1"/>
    <col min="3" max="8" width="23.5" style="2" customWidth="1"/>
    <col min="9" max="13" width="8.83203125" style="83" hidden="1" customWidth="1"/>
    <col min="14" max="24" width="0" style="83" hidden="1" customWidth="1"/>
    <col min="25" max="40" width="0" style="1" hidden="1" customWidth="1"/>
    <col min="41" max="82" width="8.83203125" style="32"/>
    <col min="83" max="16384" width="8.83203125" style="2"/>
  </cols>
  <sheetData>
    <row r="1" spans="1:40" ht="23.5" customHeight="1">
      <c r="A1" s="91" t="s">
        <v>4</v>
      </c>
      <c r="B1" s="1"/>
      <c r="C1" s="1"/>
      <c r="D1" s="1"/>
      <c r="E1" s="1"/>
      <c r="F1" s="1"/>
      <c r="G1" s="1"/>
      <c r="H1" s="1"/>
    </row>
    <row r="2" spans="1:40">
      <c r="A2" s="1"/>
      <c r="B2" s="1"/>
      <c r="C2" s="1"/>
      <c r="D2" s="1"/>
      <c r="E2" s="1"/>
      <c r="F2" s="1"/>
      <c r="G2" s="1"/>
      <c r="H2" s="1"/>
      <c r="M2" s="102" t="s">
        <v>107</v>
      </c>
    </row>
    <row r="3" spans="1:40">
      <c r="A3" s="1" t="s">
        <v>39</v>
      </c>
      <c r="B3" s="1"/>
      <c r="C3" s="1"/>
      <c r="D3" s="1"/>
      <c r="E3" s="1"/>
      <c r="F3" s="1"/>
      <c r="G3" s="1"/>
      <c r="H3" s="1"/>
      <c r="M3" s="103"/>
    </row>
    <row r="4" spans="1:40">
      <c r="A4" s="1"/>
      <c r="B4" s="1"/>
      <c r="C4" s="1"/>
      <c r="D4" s="1"/>
      <c r="E4" s="1"/>
      <c r="F4" s="1"/>
      <c r="G4" s="1"/>
      <c r="H4" s="1"/>
      <c r="M4" s="103" t="s">
        <v>108</v>
      </c>
    </row>
    <row r="5" spans="1:40">
      <c r="A5" s="3" t="s">
        <v>19</v>
      </c>
      <c r="B5" s="1"/>
      <c r="C5" s="1"/>
      <c r="D5" s="1"/>
      <c r="E5" s="1"/>
      <c r="F5" s="1"/>
      <c r="G5" s="1"/>
      <c r="H5" s="1"/>
      <c r="M5" s="100"/>
    </row>
    <row r="6" spans="1:40">
      <c r="A6" s="1" t="s">
        <v>35</v>
      </c>
      <c r="C6" s="1"/>
      <c r="D6" s="1"/>
      <c r="E6" s="1"/>
      <c r="F6" s="1"/>
      <c r="G6" s="1"/>
      <c r="H6" s="1"/>
      <c r="K6" s="86">
        <v>2</v>
      </c>
      <c r="M6" s="100"/>
      <c r="AN6" s="2"/>
    </row>
    <row r="7" spans="1:40">
      <c r="A7" s="1"/>
      <c r="B7" s="1"/>
      <c r="C7" s="1"/>
      <c r="D7" s="1"/>
      <c r="E7" s="1"/>
      <c r="F7" s="1"/>
      <c r="G7" s="1"/>
      <c r="H7" s="1"/>
    </row>
    <row r="8" spans="1:40">
      <c r="A8" s="3" t="s">
        <v>42</v>
      </c>
      <c r="B8" s="1"/>
      <c r="C8" s="1"/>
      <c r="D8" s="1"/>
      <c r="E8" s="1"/>
      <c r="F8" s="1"/>
      <c r="G8" s="1"/>
      <c r="H8" s="1"/>
    </row>
    <row r="9" spans="1:40">
      <c r="A9" s="1" t="str">
        <f>2018&amp;" "&amp;C13</f>
        <v>2018 HMO</v>
      </c>
      <c r="B9" s="4">
        <f>IF(ISERROR(VLOOKUP(Inputs!$P$4,Inputs!$H$5:$P$7,9,FALSE)),0,VLOOKUP(Inputs!$P$4,Inputs!$H$5:$P$7,9,FALSE))</f>
        <v>1617.3465600000002</v>
      </c>
      <c r="C9" s="1"/>
      <c r="D9" s="1"/>
      <c r="E9" s="1"/>
      <c r="F9" s="1"/>
      <c r="G9" s="1"/>
      <c r="H9" s="1"/>
    </row>
    <row r="10" spans="1:40">
      <c r="A10" s="1" t="str">
        <f>2018&amp;" "&amp;E13</f>
        <v>2018 Low Option HMO</v>
      </c>
      <c r="B10" s="4">
        <f>IF(ISERROR(VLOOKUP(Inputs!$P$4,Inputs!$H$10:$P$12,9,FALSE)),0,VLOOKUP(Inputs!$P$4,Inputs!$H$10:$P$12,9,FALSE))</f>
        <v>825.99936000000002</v>
      </c>
      <c r="C10" s="1"/>
      <c r="D10" s="1"/>
      <c r="E10" s="1"/>
      <c r="F10" s="1"/>
      <c r="G10" s="1"/>
      <c r="H10" s="1"/>
    </row>
    <row r="11" spans="1:40">
      <c r="A11" s="1" t="str">
        <f>2018&amp;" "&amp;G13</f>
        <v>2018 PPO</v>
      </c>
      <c r="B11" s="4">
        <f>IF(ISERROR(VLOOKUP(Inputs!$P$4,Inputs!$H$15:$P$17,9,FALSE)),0,VLOOKUP(Inputs!$P$4,Inputs!$H$15:$P$17,9,FALSE))</f>
        <v>3039.6825600000002</v>
      </c>
      <c r="C11" s="1"/>
      <c r="D11" s="1"/>
      <c r="E11" s="83"/>
      <c r="F11" s="1"/>
      <c r="G11" s="1"/>
      <c r="H11" s="1"/>
    </row>
    <row r="12" spans="1:40">
      <c r="A12" s="1"/>
      <c r="C12" s="1"/>
      <c r="D12" s="1"/>
      <c r="E12" s="1"/>
      <c r="F12" s="1"/>
      <c r="G12" s="1"/>
      <c r="H12" s="1"/>
    </row>
    <row r="13" spans="1:40">
      <c r="A13" s="264" t="s">
        <v>23</v>
      </c>
      <c r="B13" s="266" t="s">
        <v>34</v>
      </c>
      <c r="C13" s="268" t="s">
        <v>5</v>
      </c>
      <c r="D13" s="268"/>
      <c r="E13" s="266" t="s">
        <v>44</v>
      </c>
      <c r="F13" s="266"/>
      <c r="G13" s="266" t="s">
        <v>7</v>
      </c>
      <c r="H13" s="269"/>
    </row>
    <row r="14" spans="1:40">
      <c r="A14" s="265"/>
      <c r="B14" s="267"/>
      <c r="C14" s="25" t="s">
        <v>3</v>
      </c>
      <c r="D14" s="25" t="s">
        <v>40</v>
      </c>
      <c r="E14" s="101" t="s">
        <v>3</v>
      </c>
      <c r="F14" s="101" t="s">
        <v>40</v>
      </c>
      <c r="G14" s="101" t="s">
        <v>3</v>
      </c>
      <c r="H14" s="26" t="s">
        <v>40</v>
      </c>
    </row>
    <row r="15" spans="1:40">
      <c r="A15" s="5" t="s">
        <v>9</v>
      </c>
      <c r="B15" s="6" t="s">
        <v>32</v>
      </c>
      <c r="C15" s="7">
        <v>0</v>
      </c>
      <c r="D15" s="18" t="s">
        <v>32</v>
      </c>
      <c r="E15" s="7" t="s">
        <v>105</v>
      </c>
      <c r="F15" s="18">
        <f>IF(ISERROR(HLOOKUP(Inputs!P4,Inputs!$I$33:$K$35,2,FALSE)),0,HLOOKUP(Inputs!P4,Inputs!$I$33:$K$35,2,FALSE))</f>
        <v>0</v>
      </c>
      <c r="G15" s="7" t="s">
        <v>24</v>
      </c>
      <c r="H15" s="18">
        <f>IF(ISERROR(HLOOKUP(Inputs!P4,Inputs!$I$33:$K$35,3,FALSE)),0,HLOOKUP(Inputs!P4,Inputs!$I$33:$K$35,3,FALSE))</f>
        <v>0</v>
      </c>
    </row>
    <row r="16" spans="1:40">
      <c r="A16" s="8" t="s">
        <v>22</v>
      </c>
      <c r="B16" s="17">
        <v>0</v>
      </c>
      <c r="C16" s="9">
        <v>500</v>
      </c>
      <c r="D16" s="19">
        <f t="shared" ref="D16:D21" si="0">+$B16*C16</f>
        <v>0</v>
      </c>
      <c r="E16" s="9" t="s">
        <v>31</v>
      </c>
      <c r="F16" s="23" t="s">
        <v>38</v>
      </c>
      <c r="G16" s="9" t="s">
        <v>31</v>
      </c>
      <c r="H16" s="19" t="s">
        <v>38</v>
      </c>
      <c r="K16" s="88"/>
      <c r="L16" s="88">
        <f>9500*B16</f>
        <v>0</v>
      </c>
      <c r="M16" s="88"/>
    </row>
    <row r="17" spans="1:82">
      <c r="A17" s="8" t="s">
        <v>11</v>
      </c>
      <c r="B17" s="17">
        <v>0</v>
      </c>
      <c r="C17" s="9">
        <v>250</v>
      </c>
      <c r="D17" s="19">
        <f t="shared" si="0"/>
        <v>0</v>
      </c>
      <c r="E17" s="9" t="s">
        <v>31</v>
      </c>
      <c r="F17" s="23" t="s">
        <v>38</v>
      </c>
      <c r="G17" s="9" t="s">
        <v>31</v>
      </c>
      <c r="H17" s="19" t="s">
        <v>38</v>
      </c>
      <c r="K17" s="88"/>
      <c r="L17" s="88">
        <f>5500*B17</f>
        <v>0</v>
      </c>
      <c r="M17" s="88"/>
    </row>
    <row r="18" spans="1:82">
      <c r="A18" s="8" t="s">
        <v>12</v>
      </c>
      <c r="B18" s="17">
        <v>0</v>
      </c>
      <c r="C18" s="9">
        <v>75</v>
      </c>
      <c r="D18" s="19">
        <f t="shared" si="0"/>
        <v>0</v>
      </c>
      <c r="E18" s="9" t="s">
        <v>31</v>
      </c>
      <c r="F18" s="23" t="s">
        <v>38</v>
      </c>
      <c r="G18" s="9" t="s">
        <v>31</v>
      </c>
      <c r="H18" s="19" t="s">
        <v>38</v>
      </c>
      <c r="K18" s="88"/>
      <c r="L18" s="88">
        <f>600*B18</f>
        <v>0</v>
      </c>
      <c r="M18" s="88"/>
    </row>
    <row r="19" spans="1:82">
      <c r="A19" s="8" t="s">
        <v>0</v>
      </c>
      <c r="B19" s="17">
        <v>0</v>
      </c>
      <c r="C19" s="9">
        <v>200</v>
      </c>
      <c r="D19" s="19">
        <f t="shared" si="0"/>
        <v>0</v>
      </c>
      <c r="E19" s="9">
        <v>200</v>
      </c>
      <c r="F19" s="19">
        <f>+$B19*E19</f>
        <v>0</v>
      </c>
      <c r="G19" s="9">
        <v>200</v>
      </c>
      <c r="H19" s="19">
        <f t="shared" ref="H19:H21" si="1">+$B19*G19</f>
        <v>0</v>
      </c>
      <c r="K19" s="88"/>
      <c r="L19" s="88"/>
      <c r="M19" s="88"/>
    </row>
    <row r="20" spans="1:82">
      <c r="A20" s="8" t="s">
        <v>25</v>
      </c>
      <c r="B20" s="17">
        <v>0</v>
      </c>
      <c r="C20" s="9">
        <v>20</v>
      </c>
      <c r="D20" s="19">
        <f t="shared" si="0"/>
        <v>0</v>
      </c>
      <c r="E20" s="9">
        <v>25</v>
      </c>
      <c r="F20" s="19">
        <f>+$B20*E20</f>
        <v>0</v>
      </c>
      <c r="G20" s="9">
        <v>30</v>
      </c>
      <c r="H20" s="19">
        <f t="shared" si="1"/>
        <v>0</v>
      </c>
      <c r="K20" s="88"/>
      <c r="L20" s="88"/>
      <c r="M20" s="88"/>
    </row>
    <row r="21" spans="1:82">
      <c r="A21" s="8" t="s">
        <v>26</v>
      </c>
      <c r="B21" s="17">
        <v>0</v>
      </c>
      <c r="C21" s="9">
        <v>30</v>
      </c>
      <c r="D21" s="19">
        <f t="shared" si="0"/>
        <v>0</v>
      </c>
      <c r="E21" s="9">
        <v>35</v>
      </c>
      <c r="F21" s="19">
        <f>+$B21*E21</f>
        <v>0</v>
      </c>
      <c r="G21" s="9">
        <v>30</v>
      </c>
      <c r="H21" s="19">
        <f t="shared" si="1"/>
        <v>0</v>
      </c>
      <c r="K21" s="88"/>
      <c r="L21" s="88"/>
      <c r="M21" s="88"/>
    </row>
    <row r="22" spans="1:82">
      <c r="A22" s="8" t="s">
        <v>30</v>
      </c>
      <c r="B22" s="10" t="s">
        <v>32</v>
      </c>
      <c r="C22" s="9" t="s">
        <v>147</v>
      </c>
      <c r="D22" s="20">
        <f>IF(ISERROR(HLOOKUP(Inputs!P4,Inputs!$I$26:$K$29,2,FALSE)),0,HLOOKUP(Inputs!P4,Inputs!$I$26:$K$29,2,FALSE))</f>
        <v>0</v>
      </c>
      <c r="E22" s="9" t="s">
        <v>147</v>
      </c>
      <c r="F22" s="19">
        <f>IF(ISERROR(HLOOKUP(Inputs!P4,Inputs!$I$26:$K$29,3,FALSE)),0,HLOOKUP(Inputs!P4,Inputs!$I$26:$K$29,3,FALSE))</f>
        <v>0</v>
      </c>
      <c r="G22" s="9" t="s">
        <v>147</v>
      </c>
      <c r="H22" s="19">
        <f>IF(ISERROR(HLOOKUP(Inputs!P4,Inputs!$I$26:$K$29,4,FALSE)),0,HLOOKUP(Inputs!P4,Inputs!$I$26:$K$29,4,FALSE))</f>
        <v>0</v>
      </c>
      <c r="K22" s="88"/>
      <c r="L22" s="88"/>
      <c r="M22" s="88"/>
    </row>
    <row r="23" spans="1:82">
      <c r="A23" s="8" t="s">
        <v>27</v>
      </c>
      <c r="B23" s="17">
        <v>0</v>
      </c>
      <c r="C23" s="9">
        <v>10</v>
      </c>
      <c r="D23" s="19">
        <f>IF(D$22&lt;K$28,0,B23*C23)</f>
        <v>0</v>
      </c>
      <c r="E23" s="9">
        <v>10</v>
      </c>
      <c r="F23" s="19">
        <f>IF(F$22&lt;L$28,0,B23*E23)</f>
        <v>0</v>
      </c>
      <c r="G23" s="9">
        <v>15</v>
      </c>
      <c r="H23" s="19">
        <f>IF(H$22&lt;M$28,0,B23*G23)</f>
        <v>0</v>
      </c>
      <c r="J23" s="87"/>
      <c r="K23" s="88">
        <f>+$B$23*40</f>
        <v>0</v>
      </c>
      <c r="L23" s="88">
        <f>+$B$23*40</f>
        <v>0</v>
      </c>
      <c r="M23" s="88">
        <f>+$B$23*40</f>
        <v>0</v>
      </c>
    </row>
    <row r="24" spans="1:82">
      <c r="A24" s="8" t="s">
        <v>28</v>
      </c>
      <c r="B24" s="17">
        <v>0</v>
      </c>
      <c r="C24" s="9">
        <v>35</v>
      </c>
      <c r="D24" s="19">
        <f t="shared" ref="D24:D25" si="2">IF(D$22&lt;K$28,0,B24*C24)</f>
        <v>0</v>
      </c>
      <c r="E24" s="9">
        <v>35</v>
      </c>
      <c r="F24" s="19">
        <f t="shared" ref="F24:F25" si="3">IF(F$22&lt;L$28,0,B24*E24)</f>
        <v>0</v>
      </c>
      <c r="G24" s="9">
        <v>35</v>
      </c>
      <c r="H24" s="19">
        <f t="shared" ref="H24:H25" si="4">IF(H$22&lt;M$28,0,B24*G24)</f>
        <v>0</v>
      </c>
      <c r="J24" s="87"/>
      <c r="K24" s="88">
        <f>+$B$24*175</f>
        <v>0</v>
      </c>
      <c r="L24" s="88">
        <f>+$B$24*175</f>
        <v>0</v>
      </c>
      <c r="M24" s="88">
        <f>+$B$24*175</f>
        <v>0</v>
      </c>
    </row>
    <row r="25" spans="1:82">
      <c r="A25" s="11" t="s">
        <v>29</v>
      </c>
      <c r="B25" s="17">
        <v>0</v>
      </c>
      <c r="C25" s="12">
        <v>60</v>
      </c>
      <c r="D25" s="21">
        <f t="shared" si="2"/>
        <v>0</v>
      </c>
      <c r="E25" s="12">
        <v>60</v>
      </c>
      <c r="F25" s="21">
        <f t="shared" si="3"/>
        <v>0</v>
      </c>
      <c r="G25" s="12">
        <v>60</v>
      </c>
      <c r="H25" s="21">
        <f t="shared" si="4"/>
        <v>0</v>
      </c>
      <c r="J25" s="87"/>
      <c r="K25" s="88">
        <f>+$B$25*300</f>
        <v>0</v>
      </c>
      <c r="L25" s="88">
        <f>+$B$25*300</f>
        <v>0</v>
      </c>
      <c r="M25" s="88">
        <f>+$B$25*300</f>
        <v>0</v>
      </c>
    </row>
    <row r="26" spans="1:82" s="97" customFormat="1" hidden="1">
      <c r="A26" s="83"/>
      <c r="B26" s="83"/>
      <c r="C26" s="93" t="s">
        <v>37</v>
      </c>
      <c r="D26" s="94">
        <f>+SUM(D15:D21)+D22+($B$23*C23)+($B$24*C24)+($B$25*C25)</f>
        <v>0</v>
      </c>
      <c r="E26" s="95"/>
      <c r="F26" s="94">
        <f>+F15+F19+F20+F21+F22+($B$23*E23)+($B$24*E24)+($B$25*E25)</f>
        <v>0</v>
      </c>
      <c r="G26" s="96"/>
      <c r="H26" s="94">
        <f>+SUM(H15:H21)+H22+($B$23*G23)+($B$24*G24)+($B$25*G25)</f>
        <v>0</v>
      </c>
      <c r="I26" s="83"/>
      <c r="J26" s="83"/>
      <c r="K26" s="88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</row>
    <row r="27" spans="1:82">
      <c r="A27" s="1"/>
      <c r="B27" s="1"/>
      <c r="C27" s="92" t="s">
        <v>102</v>
      </c>
      <c r="D27" s="21">
        <f>IF(ISERROR(MIN(D26,HLOOKUP(Inputs!$P$4,Inputs!$I$26:$K$31,6,FALSE))),0,MIN(D26,HLOOKUP(Inputs!$P$4,Inputs!$I$26:$K$31,6,FALSE)))</f>
        <v>0</v>
      </c>
      <c r="E27" s="30"/>
      <c r="F27" s="21">
        <f>IF(ISERROR(MIN(F26,HLOOKUP(Inputs!$P$4,Inputs!$I$26:$K$31,6,FALSE))),0,MIN(F26,HLOOKUP(Inputs!$P$4,Inputs!$I$26:$K$31,6,FALSE)))</f>
        <v>0</v>
      </c>
      <c r="G27" s="31"/>
      <c r="H27" s="21">
        <f>IF(ISERROR(MIN(H26,HLOOKUP(Inputs!$P$4,Inputs!$I$26:$K$31,6,FALSE))),0,MIN(H26,HLOOKUP(Inputs!$P$4,Inputs!$I$26:$K$31,6,FALSE)))</f>
        <v>0</v>
      </c>
      <c r="K27" s="88" t="str">
        <f>+VLOOKUP(K6,Inputs!$B$22:$C$25,2,FALSE)</f>
        <v xml:space="preserve">  Individual</v>
      </c>
    </row>
    <row r="28" spans="1:82">
      <c r="A28" s="1"/>
      <c r="B28" s="1"/>
      <c r="C28" s="28" t="s">
        <v>41</v>
      </c>
      <c r="D28" s="21">
        <f>+B9</f>
        <v>1617.3465600000002</v>
      </c>
      <c r="E28" s="31"/>
      <c r="F28" s="21">
        <f>+B10</f>
        <v>825.99936000000002</v>
      </c>
      <c r="G28" s="31"/>
      <c r="H28" s="21">
        <f>+B11</f>
        <v>3039.6825600000002</v>
      </c>
      <c r="K28" s="88">
        <f>+HLOOKUP($K$27,Inputs!$L$26:$N$29,2,FALSE)</f>
        <v>250</v>
      </c>
      <c r="L28" s="88">
        <f>+HLOOKUP($K$27,Inputs!$L$26:$N$29,3,FALSE)</f>
        <v>250</v>
      </c>
      <c r="M28" s="88">
        <f>+HLOOKUP($K$27,Inputs!$L$26:$N$29,3,FALSE)</f>
        <v>250</v>
      </c>
    </row>
    <row r="29" spans="1:82">
      <c r="A29" s="1"/>
      <c r="B29" s="1"/>
      <c r="C29" s="84" t="s">
        <v>1</v>
      </c>
      <c r="D29" s="22">
        <f>+D27+D28</f>
        <v>1617.3465600000002</v>
      </c>
      <c r="E29" s="29"/>
      <c r="F29" s="22">
        <f>+F27+F28</f>
        <v>825.99936000000002</v>
      </c>
      <c r="G29" s="29"/>
      <c r="H29" s="24">
        <f>+H27+H28</f>
        <v>3039.6825600000002</v>
      </c>
    </row>
    <row r="30" spans="1:82">
      <c r="A30" s="1"/>
      <c r="B30" s="1"/>
      <c r="C30" s="13"/>
      <c r="D30" s="31"/>
      <c r="E30" s="32"/>
      <c r="F30" s="32"/>
      <c r="G30" s="32"/>
      <c r="H30" s="33"/>
    </row>
    <row r="31" spans="1:82">
      <c r="A31" s="15" t="s">
        <v>33</v>
      </c>
      <c r="B31" s="1"/>
      <c r="C31" s="16"/>
      <c r="D31" s="1"/>
      <c r="E31" s="1"/>
      <c r="F31" s="1"/>
      <c r="G31" s="1"/>
      <c r="H31" s="1"/>
    </row>
    <row r="32" spans="1:82">
      <c r="A32" s="1" t="s">
        <v>150</v>
      </c>
      <c r="B32" s="1"/>
      <c r="C32" s="16"/>
      <c r="D32" s="1"/>
      <c r="E32" s="1"/>
      <c r="F32" s="1"/>
      <c r="G32" s="1"/>
      <c r="H32" s="1"/>
    </row>
    <row r="33" spans="1:8">
      <c r="A33" s="1" t="s">
        <v>109</v>
      </c>
      <c r="B33" s="1"/>
      <c r="C33" s="1"/>
      <c r="D33" s="1"/>
      <c r="E33" s="1"/>
      <c r="F33" s="1"/>
      <c r="G33" s="1"/>
      <c r="H33" s="1"/>
    </row>
    <row r="34" spans="1:8">
      <c r="A34" s="27" t="s">
        <v>98</v>
      </c>
      <c r="B34" s="1"/>
      <c r="C34" s="1"/>
      <c r="D34" s="1"/>
      <c r="E34" s="1"/>
      <c r="F34" s="1"/>
      <c r="G34" s="1"/>
      <c r="H34" s="1"/>
    </row>
    <row r="35" spans="1:8">
      <c r="A35" s="27" t="s">
        <v>99</v>
      </c>
      <c r="B35" s="1"/>
      <c r="C35" s="1"/>
      <c r="D35" s="1"/>
      <c r="E35" s="1"/>
      <c r="F35" s="1"/>
      <c r="G35" s="1"/>
      <c r="H35" s="1"/>
    </row>
    <row r="36" spans="1:8">
      <c r="A36" s="1" t="s">
        <v>36</v>
      </c>
      <c r="B36" s="14"/>
      <c r="C36" s="1"/>
      <c r="D36" s="1"/>
      <c r="E36" s="1"/>
      <c r="F36" s="1"/>
      <c r="G36" s="1"/>
      <c r="H36" s="1"/>
    </row>
    <row r="37" spans="1:8">
      <c r="A37" s="1" t="s">
        <v>149</v>
      </c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</sheetData>
  <sheetProtection algorithmName="SHA-512" hashValue="Oz1GfgUungkztuXJb7MZ3IMVByMWj4fbxRcaJna0Jvyeo7oxI6IHyXjdgSVcetTGiK+6pu5t60180IMj7wsKlA==" saltValue="yeCg9Ej1QsN6JPPqSOerfg==" spinCount="100000" sheet="1" objects="1" scenarios="1"/>
  <mergeCells count="5">
    <mergeCell ref="A13:A14"/>
    <mergeCell ref="B13:B14"/>
    <mergeCell ref="C13:D13"/>
    <mergeCell ref="E13:F13"/>
    <mergeCell ref="G13:H13"/>
  </mergeCells>
  <phoneticPr fontId="2" type="noConversion"/>
  <dataValidations disablePrompts="1" count="1">
    <dataValidation type="list" allowBlank="1" showInputMessage="1" showErrorMessage="1" sqref="K6">
      <formula1>#REF!</formula1>
    </dataValidation>
  </dataValidations>
  <printOptions horizontalCentered="1"/>
  <pageMargins left="0.5" right="0.5" top="1" bottom="1" header="0.5" footer="0.5"/>
  <pageSetup scale="58"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Drop Down 2">
              <controlPr defaultSize="0" autoLine="0" autoPict="0">
                <anchor moveWithCells="1">
                  <from>
                    <xdr:col>0</xdr:col>
                    <xdr:colOff>2235200</xdr:colOff>
                    <xdr:row>4</xdr:row>
                    <xdr:rowOff>165100</xdr:rowOff>
                  </from>
                  <to>
                    <xdr:col>1</xdr:col>
                    <xdr:colOff>1600200</xdr:colOff>
                    <xdr:row>6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B1:AI35"/>
  <sheetViews>
    <sheetView zoomScale="70" zoomScaleNormal="70" zoomScalePageLayoutView="70" workbookViewId="0">
      <selection activeCell="K27" sqref="K27"/>
    </sheetView>
  </sheetViews>
  <sheetFormatPr baseColWidth="10" defaultColWidth="8.83203125" defaultRowHeight="14" x14ac:dyDescent="0"/>
  <cols>
    <col min="1" max="1" width="8.83203125" style="34"/>
    <col min="2" max="2" width="37.1640625" style="34" bestFit="1" customWidth="1"/>
    <col min="3" max="6" width="24.83203125" style="34" customWidth="1"/>
    <col min="7" max="7" width="14.5" style="34" customWidth="1"/>
    <col min="8" max="8" width="15.33203125" style="34" bestFit="1" customWidth="1"/>
    <col min="9" max="9" width="14.5" style="34" customWidth="1"/>
    <col min="10" max="10" width="18.1640625" style="78" customWidth="1"/>
    <col min="11" max="11" width="17.1640625" style="78" customWidth="1"/>
    <col min="12" max="12" width="17.5" style="78" customWidth="1"/>
    <col min="13" max="15" width="8.83203125" style="34"/>
    <col min="16" max="16" width="12.5" style="34" customWidth="1"/>
    <col min="17" max="16384" width="8.83203125" style="34"/>
  </cols>
  <sheetData>
    <row r="1" spans="2:35" ht="15" thickBot="1"/>
    <row r="2" spans="2:35" ht="33" customHeight="1">
      <c r="B2" s="282" t="s">
        <v>8</v>
      </c>
      <c r="C2" s="284" t="s">
        <v>45</v>
      </c>
      <c r="D2" s="284" t="s">
        <v>46</v>
      </c>
      <c r="E2" s="286" t="s">
        <v>7</v>
      </c>
      <c r="F2" s="287"/>
      <c r="H2" s="59"/>
      <c r="I2" s="60"/>
      <c r="J2" s="278" t="s">
        <v>86</v>
      </c>
      <c r="K2" s="279"/>
      <c r="L2" s="280"/>
    </row>
    <row r="3" spans="2:35">
      <c r="B3" s="283"/>
      <c r="C3" s="285"/>
      <c r="D3" s="285"/>
      <c r="E3" s="35" t="s">
        <v>20</v>
      </c>
      <c r="F3" s="36" t="s">
        <v>21</v>
      </c>
      <c r="H3" s="61"/>
      <c r="I3" s="48" t="s">
        <v>87</v>
      </c>
      <c r="J3" s="49" t="s">
        <v>88</v>
      </c>
      <c r="K3" s="50" t="s">
        <v>94</v>
      </c>
      <c r="L3" s="62" t="s">
        <v>89</v>
      </c>
      <c r="O3" s="34" t="s">
        <v>95</v>
      </c>
      <c r="P3" s="82">
        <f>+'Hampshire College'!K6</f>
        <v>2</v>
      </c>
    </row>
    <row r="4" spans="2:35" ht="21">
      <c r="B4" s="288" t="s">
        <v>9</v>
      </c>
      <c r="C4" s="289" t="s">
        <v>10</v>
      </c>
      <c r="D4" s="37" t="s">
        <v>47</v>
      </c>
      <c r="E4" s="38" t="s">
        <v>49</v>
      </c>
      <c r="F4" s="39" t="s">
        <v>51</v>
      </c>
      <c r="H4" s="63" t="s">
        <v>90</v>
      </c>
      <c r="I4" s="51"/>
      <c r="J4" s="52"/>
      <c r="K4" s="71"/>
      <c r="L4" s="98"/>
      <c r="O4" s="34" t="s">
        <v>97</v>
      </c>
      <c r="P4" s="82" t="str">
        <f>+VLOOKUP(P3,$B$22:$C$25,2,FALSE)</f>
        <v xml:space="preserve">  Individual</v>
      </c>
      <c r="Y4" s="261" t="s">
        <v>148</v>
      </c>
    </row>
    <row r="5" spans="2:35">
      <c r="B5" s="270"/>
      <c r="C5" s="271"/>
      <c r="D5" s="40" t="s">
        <v>48</v>
      </c>
      <c r="E5" s="41" t="s">
        <v>50</v>
      </c>
      <c r="F5" s="42" t="s">
        <v>52</v>
      </c>
      <c r="H5" s="63" t="s">
        <v>91</v>
      </c>
      <c r="I5" s="51">
        <v>102</v>
      </c>
      <c r="J5" s="53">
        <v>718.63269367499993</v>
      </c>
      <c r="K5" s="72">
        <v>583.85381367499986</v>
      </c>
      <c r="L5" s="99">
        <v>134.77888000000002</v>
      </c>
      <c r="N5" s="79">
        <f>+K5+L5-J5</f>
        <v>0</v>
      </c>
      <c r="P5" s="79">
        <f>+L5*12</f>
        <v>1617.3465600000002</v>
      </c>
      <c r="Y5" s="34">
        <v>117</v>
      </c>
      <c r="Z5" s="34">
        <v>624.58000000000004</v>
      </c>
      <c r="AA5" s="34">
        <v>492.96</v>
      </c>
      <c r="AB5" s="34">
        <v>131.62</v>
      </c>
      <c r="AD5" s="262">
        <f>+I5/Y5-1</f>
        <v>-0.12820512820512819</v>
      </c>
      <c r="AE5" s="262">
        <f t="shared" ref="AE5:AE7" si="0">+J5/Z5-1</f>
        <v>0.15058550333824305</v>
      </c>
      <c r="AF5" s="262">
        <f t="shared" ref="AF5:AF7" si="1">+K5/AA5-1</f>
        <v>0.18438375055785428</v>
      </c>
      <c r="AG5" s="262">
        <f t="shared" ref="AG5:AG7" si="2">+L5/AB5-1</f>
        <v>2.4000000000000021E-2</v>
      </c>
      <c r="AI5" s="34">
        <f>+AA5+AB5-Z5</f>
        <v>0</v>
      </c>
    </row>
    <row r="6" spans="2:35">
      <c r="B6" s="272" t="s">
        <v>53</v>
      </c>
      <c r="C6" s="43" t="s">
        <v>54</v>
      </c>
      <c r="D6" s="43" t="s">
        <v>56</v>
      </c>
      <c r="E6" s="43" t="s">
        <v>58</v>
      </c>
      <c r="F6" s="44" t="s">
        <v>59</v>
      </c>
      <c r="H6" s="63" t="s">
        <v>92</v>
      </c>
      <c r="I6" s="51">
        <v>48</v>
      </c>
      <c r="J6" s="53">
        <v>1437.16934556</v>
      </c>
      <c r="K6" s="72">
        <v>943.9597455600001</v>
      </c>
      <c r="L6" s="99">
        <v>493.20959999999997</v>
      </c>
      <c r="N6" s="79">
        <f t="shared" ref="N6:N7" si="3">+K6+L6-J6</f>
        <v>0</v>
      </c>
      <c r="P6" s="79">
        <f t="shared" ref="P6:P7" si="4">+L6*12</f>
        <v>5918.5151999999998</v>
      </c>
      <c r="Y6" s="34">
        <v>46</v>
      </c>
      <c r="Z6" s="34">
        <v>1249.08</v>
      </c>
      <c r="AA6" s="34">
        <v>767.43</v>
      </c>
      <c r="AB6" s="34">
        <v>481.65</v>
      </c>
      <c r="AD6" s="262">
        <f t="shared" ref="AD6:AD7" si="5">+I6/Y6-1</f>
        <v>4.3478260869565188E-2</v>
      </c>
      <c r="AE6" s="262">
        <f t="shared" si="0"/>
        <v>0.1505823050244981</v>
      </c>
      <c r="AF6" s="262">
        <f t="shared" si="1"/>
        <v>0.23002716281615276</v>
      </c>
      <c r="AG6" s="262">
        <f t="shared" si="2"/>
        <v>2.4000000000000021E-2</v>
      </c>
      <c r="AI6" s="34">
        <f>+AA6+AB6-Z6</f>
        <v>0</v>
      </c>
    </row>
    <row r="7" spans="2:35">
      <c r="B7" s="272"/>
      <c r="C7" s="43" t="s">
        <v>55</v>
      </c>
      <c r="D7" s="43" t="s">
        <v>57</v>
      </c>
      <c r="E7" s="43" t="s">
        <v>55</v>
      </c>
      <c r="F7" s="44" t="s">
        <v>60</v>
      </c>
      <c r="H7" s="63" t="s">
        <v>6</v>
      </c>
      <c r="I7" s="51">
        <v>40</v>
      </c>
      <c r="J7" s="53">
        <v>2155.6099556549998</v>
      </c>
      <c r="K7" s="72">
        <v>1415.8313956549996</v>
      </c>
      <c r="L7" s="99">
        <v>739.77856000000008</v>
      </c>
      <c r="N7" s="79">
        <f t="shared" si="3"/>
        <v>0</v>
      </c>
      <c r="P7" s="79">
        <f t="shared" si="4"/>
        <v>8877.3427200000006</v>
      </c>
      <c r="Y7" s="34">
        <v>58</v>
      </c>
      <c r="Z7" s="34">
        <v>1873.5</v>
      </c>
      <c r="AA7" s="34">
        <v>1151.06</v>
      </c>
      <c r="AB7" s="34">
        <v>722.44</v>
      </c>
      <c r="AD7" s="262">
        <f t="shared" si="5"/>
        <v>-0.31034482758620685</v>
      </c>
      <c r="AE7" s="262">
        <f t="shared" si="0"/>
        <v>0.15057910630104065</v>
      </c>
      <c r="AF7" s="262">
        <f t="shared" si="1"/>
        <v>0.23002397412385078</v>
      </c>
      <c r="AG7" s="262">
        <f t="shared" si="2"/>
        <v>2.4000000000000021E-2</v>
      </c>
      <c r="AI7" s="34">
        <f>+AA7+AB7-Z7</f>
        <v>0</v>
      </c>
    </row>
    <row r="8" spans="2:35" ht="21">
      <c r="B8" s="45" t="s">
        <v>61</v>
      </c>
      <c r="C8" s="40" t="s">
        <v>62</v>
      </c>
      <c r="D8" s="42" t="s">
        <v>63</v>
      </c>
      <c r="E8" s="42" t="s">
        <v>63</v>
      </c>
      <c r="F8" s="42" t="s">
        <v>64</v>
      </c>
      <c r="H8" s="65"/>
      <c r="I8" s="54"/>
      <c r="J8" s="52"/>
      <c r="K8" s="71"/>
      <c r="L8" s="64"/>
      <c r="N8" s="80"/>
    </row>
    <row r="9" spans="2:35">
      <c r="B9" s="46" t="s">
        <v>65</v>
      </c>
      <c r="C9" s="43" t="s">
        <v>66</v>
      </c>
      <c r="D9" s="44" t="s">
        <v>63</v>
      </c>
      <c r="E9" s="44" t="s">
        <v>63</v>
      </c>
      <c r="F9" s="44" t="s">
        <v>64</v>
      </c>
      <c r="H9" s="66" t="s">
        <v>93</v>
      </c>
      <c r="I9" s="55"/>
      <c r="J9" s="275"/>
      <c r="K9" s="276"/>
      <c r="L9" s="277"/>
      <c r="N9" s="80"/>
    </row>
    <row r="10" spans="2:35">
      <c r="B10" s="270" t="s">
        <v>12</v>
      </c>
      <c r="C10" s="40" t="s">
        <v>13</v>
      </c>
      <c r="D10" s="271" t="s">
        <v>63</v>
      </c>
      <c r="E10" s="271" t="s">
        <v>63</v>
      </c>
      <c r="F10" s="271" t="s">
        <v>64</v>
      </c>
      <c r="H10" s="66" t="s">
        <v>91</v>
      </c>
      <c r="I10" s="55">
        <v>55</v>
      </c>
      <c r="J10" s="56">
        <v>644.53645269000003</v>
      </c>
      <c r="K10" s="67">
        <v>575.70317268999997</v>
      </c>
      <c r="L10" s="99">
        <v>68.833280000000002</v>
      </c>
      <c r="N10" s="79">
        <f>+K10+L10-J10</f>
        <v>0</v>
      </c>
      <c r="P10" s="79">
        <f>+L10*12</f>
        <v>825.99936000000002</v>
      </c>
      <c r="Y10" s="34">
        <v>51</v>
      </c>
      <c r="Z10" s="34">
        <v>560.17999999999995</v>
      </c>
      <c r="AA10" s="34">
        <v>492.96</v>
      </c>
      <c r="AB10" s="34">
        <v>67.22</v>
      </c>
      <c r="AD10" s="262">
        <f>+I10/Y10-1</f>
        <v>7.8431372549019551E-2</v>
      </c>
      <c r="AE10" s="262">
        <f t="shared" ref="AE10:AE12" si="6">+J10/Z10-1</f>
        <v>0.15058811933664185</v>
      </c>
      <c r="AF10" s="262">
        <f t="shared" ref="AF10:AF12" si="7">+K10/AA10-1</f>
        <v>0.16784966871551443</v>
      </c>
      <c r="AG10" s="262">
        <f t="shared" ref="AG10:AG12" si="8">+L10/AB10-1</f>
        <v>2.4000000000000021E-2</v>
      </c>
      <c r="AI10" s="34">
        <f>+AA10+AB10-Z10</f>
        <v>0</v>
      </c>
    </row>
    <row r="11" spans="2:35">
      <c r="B11" s="270"/>
      <c r="C11" s="41" t="s">
        <v>67</v>
      </c>
      <c r="D11" s="271"/>
      <c r="E11" s="271"/>
      <c r="F11" s="271"/>
      <c r="H11" s="66" t="s">
        <v>92</v>
      </c>
      <c r="I11" s="55">
        <v>15</v>
      </c>
      <c r="J11" s="56">
        <v>1289.034488664</v>
      </c>
      <c r="K11" s="67">
        <v>927.66488866400005</v>
      </c>
      <c r="L11" s="99">
        <v>361.36959999999999</v>
      </c>
      <c r="N11" s="79">
        <f t="shared" ref="N11:N12" si="9">+K11+L11-J11</f>
        <v>0</v>
      </c>
      <c r="P11" s="79">
        <f t="shared" ref="P11:P12" si="10">+L11*12</f>
        <v>4336.4351999999999</v>
      </c>
      <c r="Y11" s="34">
        <v>19</v>
      </c>
      <c r="Z11" s="34">
        <v>1120.33</v>
      </c>
      <c r="AA11" s="34">
        <v>767.43</v>
      </c>
      <c r="AB11" s="34">
        <v>352.9</v>
      </c>
      <c r="AD11" s="262">
        <f t="shared" ref="AD11:AD12" si="11">+I11/Y11-1</f>
        <v>-0.21052631578947367</v>
      </c>
      <c r="AE11" s="262">
        <f t="shared" si="6"/>
        <v>0.1505846390474237</v>
      </c>
      <c r="AF11" s="262">
        <f t="shared" si="7"/>
        <v>0.20879414235044247</v>
      </c>
      <c r="AG11" s="262">
        <f t="shared" si="8"/>
        <v>2.4000000000000021E-2</v>
      </c>
      <c r="AI11" s="34">
        <f>+AA11+AB11-Z11</f>
        <v>0</v>
      </c>
    </row>
    <row r="12" spans="2:35">
      <c r="B12" s="46" t="s">
        <v>0</v>
      </c>
      <c r="C12" s="43" t="s">
        <v>68</v>
      </c>
      <c r="D12" s="44" t="s">
        <v>69</v>
      </c>
      <c r="E12" s="273" t="s">
        <v>14</v>
      </c>
      <c r="F12" s="274"/>
      <c r="H12" s="66" t="s">
        <v>6</v>
      </c>
      <c r="I12" s="55">
        <v>33</v>
      </c>
      <c r="J12" s="56">
        <v>1933.4172744899997</v>
      </c>
      <c r="K12" s="67">
        <v>1391.3935944899997</v>
      </c>
      <c r="L12" s="99">
        <v>542.02368000000001</v>
      </c>
      <c r="N12" s="79">
        <f t="shared" si="9"/>
        <v>0</v>
      </c>
      <c r="P12" s="79">
        <f t="shared" si="10"/>
        <v>6504.2841600000002</v>
      </c>
      <c r="Y12" s="34">
        <v>24</v>
      </c>
      <c r="Z12" s="34">
        <v>1680.38</v>
      </c>
      <c r="AA12" s="34">
        <v>1151.06</v>
      </c>
      <c r="AB12" s="34">
        <v>529.32000000000005</v>
      </c>
      <c r="AD12" s="262">
        <f t="shared" si="11"/>
        <v>0.375</v>
      </c>
      <c r="AE12" s="262">
        <f t="shared" si="6"/>
        <v>0.15058336476868295</v>
      </c>
      <c r="AF12" s="262">
        <f t="shared" si="7"/>
        <v>0.20879328140149056</v>
      </c>
      <c r="AG12" s="262">
        <f t="shared" si="8"/>
        <v>2.4000000000000021E-2</v>
      </c>
      <c r="AI12" s="34">
        <f>+AA12+AB12-Z12</f>
        <v>0</v>
      </c>
    </row>
    <row r="13" spans="2:35">
      <c r="B13" s="45" t="s">
        <v>15</v>
      </c>
      <c r="C13" s="42" t="s">
        <v>70</v>
      </c>
      <c r="D13" s="42" t="s">
        <v>71</v>
      </c>
      <c r="E13" s="41" t="s">
        <v>72</v>
      </c>
      <c r="F13" s="42" t="s">
        <v>73</v>
      </c>
      <c r="H13" s="68"/>
      <c r="I13" s="57"/>
      <c r="J13" s="58"/>
      <c r="K13" s="69"/>
      <c r="L13" s="70"/>
      <c r="N13" s="80"/>
    </row>
    <row r="14" spans="2:35" ht="21">
      <c r="B14" s="272" t="s">
        <v>16</v>
      </c>
      <c r="C14" s="281" t="s">
        <v>74</v>
      </c>
      <c r="D14" s="44" t="s">
        <v>75</v>
      </c>
      <c r="E14" s="47" t="s">
        <v>77</v>
      </c>
      <c r="F14" s="281" t="s">
        <v>73</v>
      </c>
      <c r="H14" s="63" t="s">
        <v>7</v>
      </c>
      <c r="I14" s="51"/>
      <c r="J14" s="52"/>
      <c r="K14" s="71"/>
      <c r="L14" s="64"/>
      <c r="N14" s="80"/>
    </row>
    <row r="15" spans="2:35" ht="28">
      <c r="B15" s="272"/>
      <c r="C15" s="281"/>
      <c r="D15" s="44" t="s">
        <v>76</v>
      </c>
      <c r="E15" s="44" t="s">
        <v>78</v>
      </c>
      <c r="F15" s="281"/>
      <c r="H15" s="63" t="s">
        <v>91</v>
      </c>
      <c r="I15" s="51">
        <v>15</v>
      </c>
      <c r="J15" s="53">
        <v>851.81384386799994</v>
      </c>
      <c r="K15" s="72">
        <v>598.50696386799996</v>
      </c>
      <c r="L15" s="99">
        <v>253.30688000000001</v>
      </c>
      <c r="N15" s="79">
        <f>+K15+L15-J15</f>
        <v>0</v>
      </c>
      <c r="P15" s="79">
        <f>+L15*12</f>
        <v>3039.6825600000002</v>
      </c>
      <c r="Y15" s="34">
        <v>14</v>
      </c>
      <c r="Z15" s="34">
        <v>740.33</v>
      </c>
      <c r="AA15" s="34">
        <v>492.96</v>
      </c>
      <c r="AB15" s="34">
        <v>247.37</v>
      </c>
      <c r="AD15" s="262">
        <f>+I15/Y15-1</f>
        <v>7.1428571428571397E-2</v>
      </c>
      <c r="AE15" s="262">
        <f t="shared" ref="AE15:AE17" si="12">+J15/Z15-1</f>
        <v>0.15058668954115051</v>
      </c>
      <c r="AF15" s="262">
        <f t="shared" ref="AF15:AF17" si="13">+K15/AA15-1</f>
        <v>0.21410857649302173</v>
      </c>
      <c r="AG15" s="262">
        <f t="shared" ref="AG15:AG17" si="14">+L15/AB15-1</f>
        <v>2.4000000000000021E-2</v>
      </c>
      <c r="AI15" s="34">
        <f>+AA15+AB15-Z15</f>
        <v>0</v>
      </c>
    </row>
    <row r="16" spans="2:35">
      <c r="B16" s="270" t="s">
        <v>17</v>
      </c>
      <c r="C16" s="42" t="s">
        <v>79</v>
      </c>
      <c r="D16" s="42" t="s">
        <v>79</v>
      </c>
      <c r="E16" s="42" t="s">
        <v>79</v>
      </c>
      <c r="F16" s="271" t="s">
        <v>82</v>
      </c>
      <c r="H16" s="63" t="s">
        <v>92</v>
      </c>
      <c r="I16" s="51">
        <v>8</v>
      </c>
      <c r="J16" s="53">
        <v>1703.5412501249998</v>
      </c>
      <c r="K16" s="72">
        <v>973.26541012499979</v>
      </c>
      <c r="L16" s="99">
        <v>730.27584000000002</v>
      </c>
      <c r="N16" s="79">
        <f t="shared" ref="N16:N17" si="15">+K16+L16-J16</f>
        <v>0</v>
      </c>
      <c r="P16" s="79">
        <f t="shared" ref="P16:P17" si="16">+L16*12</f>
        <v>8763.3100799999993</v>
      </c>
      <c r="Y16" s="34">
        <v>9</v>
      </c>
      <c r="Z16" s="34">
        <v>1480.59</v>
      </c>
      <c r="AA16" s="34">
        <v>767.43</v>
      </c>
      <c r="AB16" s="34">
        <v>713.16</v>
      </c>
      <c r="AD16" s="262">
        <f t="shared" ref="AD16:AD17" si="17">+I16/Y16-1</f>
        <v>-0.11111111111111116</v>
      </c>
      <c r="AE16" s="262">
        <f t="shared" si="12"/>
        <v>0.15058270697829923</v>
      </c>
      <c r="AF16" s="262">
        <f t="shared" si="13"/>
        <v>0.26821392195379357</v>
      </c>
      <c r="AG16" s="262">
        <f t="shared" si="14"/>
        <v>2.4000000000000021E-2</v>
      </c>
      <c r="AI16" s="34">
        <f>+AA16+AB16-Z16</f>
        <v>0</v>
      </c>
    </row>
    <row r="17" spans="2:35">
      <c r="B17" s="270"/>
      <c r="C17" s="42" t="s">
        <v>80</v>
      </c>
      <c r="D17" s="42" t="s">
        <v>80</v>
      </c>
      <c r="E17" s="41" t="s">
        <v>81</v>
      </c>
      <c r="F17" s="271"/>
      <c r="H17" s="63" t="s">
        <v>6</v>
      </c>
      <c r="I17" s="51">
        <v>2</v>
      </c>
      <c r="J17" s="53">
        <v>2555.3166772770001</v>
      </c>
      <c r="K17" s="72">
        <v>1459.810757277</v>
      </c>
      <c r="L17" s="99">
        <v>1095.5059200000001</v>
      </c>
      <c r="N17" s="79">
        <f t="shared" si="15"/>
        <v>0</v>
      </c>
      <c r="P17" s="79">
        <f t="shared" si="16"/>
        <v>13146.071040000001</v>
      </c>
      <c r="Y17" s="34">
        <v>1</v>
      </c>
      <c r="Z17" s="34">
        <v>2220.89</v>
      </c>
      <c r="AA17" s="34">
        <v>1151.06</v>
      </c>
      <c r="AB17" s="34">
        <v>1069.83</v>
      </c>
      <c r="AD17" s="262">
        <f t="shared" si="17"/>
        <v>1</v>
      </c>
      <c r="AE17" s="262">
        <f t="shared" si="12"/>
        <v>0.15058227885082109</v>
      </c>
      <c r="AF17" s="262">
        <f t="shared" si="13"/>
        <v>0.26823167973606932</v>
      </c>
      <c r="AG17" s="262">
        <f t="shared" si="14"/>
        <v>2.4000000000000021E-2</v>
      </c>
      <c r="AI17" s="34">
        <f>+AA17+AB17-Z17</f>
        <v>0</v>
      </c>
    </row>
    <row r="18" spans="2:35" ht="22" thickBot="1">
      <c r="B18" s="46" t="s">
        <v>18</v>
      </c>
      <c r="C18" s="44" t="s">
        <v>83</v>
      </c>
      <c r="D18" s="44" t="s">
        <v>83</v>
      </c>
      <c r="E18" s="47" t="s">
        <v>84</v>
      </c>
      <c r="F18" s="44" t="s">
        <v>85</v>
      </c>
      <c r="H18" s="73"/>
      <c r="I18" s="74"/>
      <c r="J18" s="75"/>
      <c r="K18" s="76"/>
      <c r="L18" s="77"/>
    </row>
    <row r="20" spans="2:35">
      <c r="B20" s="81" t="s">
        <v>96</v>
      </c>
    </row>
    <row r="22" spans="2:35">
      <c r="B22" s="34">
        <v>1</v>
      </c>
      <c r="C22" s="34" t="s">
        <v>43</v>
      </c>
    </row>
    <row r="23" spans="2:35">
      <c r="B23" s="34">
        <v>2</v>
      </c>
      <c r="C23" s="34" t="s">
        <v>91</v>
      </c>
    </row>
    <row r="24" spans="2:35">
      <c r="B24" s="34">
        <v>3</v>
      </c>
      <c r="C24" s="34" t="s">
        <v>92</v>
      </c>
    </row>
    <row r="25" spans="2:35">
      <c r="B25" s="34">
        <v>4</v>
      </c>
      <c r="C25" s="34" t="s">
        <v>6</v>
      </c>
    </row>
    <row r="26" spans="2:35">
      <c r="E26" s="34" t="s">
        <v>100</v>
      </c>
      <c r="G26" s="34" t="s">
        <v>2</v>
      </c>
      <c r="H26" s="34" t="s">
        <v>101</v>
      </c>
      <c r="I26" s="34" t="s">
        <v>91</v>
      </c>
      <c r="J26" s="34" t="s">
        <v>92</v>
      </c>
      <c r="K26" s="34" t="s">
        <v>6</v>
      </c>
      <c r="L26" s="34" t="s">
        <v>91</v>
      </c>
      <c r="M26" s="34" t="s">
        <v>92</v>
      </c>
      <c r="N26" s="34" t="s">
        <v>6</v>
      </c>
    </row>
    <row r="27" spans="2:35">
      <c r="E27" s="34" t="s">
        <v>5</v>
      </c>
      <c r="F27" s="89">
        <f>+SUM('Hampshire College'!K23:K25)</f>
        <v>0</v>
      </c>
      <c r="G27" s="90">
        <v>250</v>
      </c>
      <c r="H27" s="90">
        <v>500</v>
      </c>
      <c r="I27" s="90">
        <f>+IF(F27&gt;250,G27,F27)</f>
        <v>0</v>
      </c>
      <c r="J27" s="90">
        <f>+IF(F27&gt;500,H27,F27)</f>
        <v>0</v>
      </c>
      <c r="K27" s="90">
        <f>+IF(F27&gt;500,H27,F27)</f>
        <v>0</v>
      </c>
      <c r="L27" s="90">
        <v>250</v>
      </c>
      <c r="M27" s="90">
        <v>500</v>
      </c>
      <c r="N27" s="90">
        <v>500</v>
      </c>
    </row>
    <row r="28" spans="2:35">
      <c r="B28" s="34" t="s">
        <v>27</v>
      </c>
      <c r="C28" s="85">
        <v>40</v>
      </c>
      <c r="E28" s="34" t="s">
        <v>44</v>
      </c>
      <c r="F28" s="89">
        <f>+SUM('Hampshire College'!L23:L25)</f>
        <v>0</v>
      </c>
      <c r="G28" s="90">
        <v>250</v>
      </c>
      <c r="H28" s="90">
        <v>500</v>
      </c>
      <c r="I28" s="90">
        <f>+IF(F28&gt;250,G28,F28)</f>
        <v>0</v>
      </c>
      <c r="J28" s="90">
        <f>+IF(F28&gt;500,H28,F28)</f>
        <v>0</v>
      </c>
      <c r="K28" s="90">
        <f>+IF(F28&gt;500,H28,F28)</f>
        <v>0</v>
      </c>
      <c r="L28" s="90">
        <v>250</v>
      </c>
      <c r="M28" s="90">
        <v>500</v>
      </c>
      <c r="N28" s="90">
        <v>500</v>
      </c>
    </row>
    <row r="29" spans="2:35">
      <c r="B29" s="34" t="s">
        <v>28</v>
      </c>
      <c r="C29" s="85">
        <v>175</v>
      </c>
      <c r="E29" s="34" t="s">
        <v>7</v>
      </c>
      <c r="F29" s="89">
        <f>+SUM('Hampshire College'!M23:M25)</f>
        <v>0</v>
      </c>
      <c r="G29" s="90">
        <v>250</v>
      </c>
      <c r="H29" s="90">
        <v>500</v>
      </c>
      <c r="I29" s="90">
        <f>+IF(F29&gt;250,G29,F29)</f>
        <v>0</v>
      </c>
      <c r="J29" s="90">
        <f>+IF(F29&gt;500,H29,F29)</f>
        <v>0</v>
      </c>
      <c r="K29" s="90">
        <f>+IF(F29&gt;500,H29,F29)</f>
        <v>0</v>
      </c>
      <c r="L29" s="90">
        <v>250</v>
      </c>
      <c r="M29" s="90">
        <v>500</v>
      </c>
      <c r="N29" s="90">
        <v>500</v>
      </c>
    </row>
    <row r="30" spans="2:35">
      <c r="B30" s="34" t="s">
        <v>29</v>
      </c>
      <c r="C30" s="85">
        <v>300</v>
      </c>
      <c r="H30" s="81" t="s">
        <v>104</v>
      </c>
    </row>
    <row r="31" spans="2:35">
      <c r="H31" s="34" t="s">
        <v>103</v>
      </c>
      <c r="I31" s="90">
        <v>2000</v>
      </c>
      <c r="J31" s="90">
        <v>4000</v>
      </c>
      <c r="K31" s="90">
        <v>4000</v>
      </c>
    </row>
    <row r="32" spans="2:35">
      <c r="E32" s="34" t="s">
        <v>106</v>
      </c>
    </row>
    <row r="33" spans="5:11">
      <c r="G33" s="34" t="s">
        <v>2</v>
      </c>
      <c r="H33" s="34" t="s">
        <v>101</v>
      </c>
      <c r="I33" s="34" t="s">
        <v>91</v>
      </c>
      <c r="J33" s="34" t="s">
        <v>92</v>
      </c>
      <c r="K33" s="34" t="s">
        <v>6</v>
      </c>
    </row>
    <row r="34" spans="5:11">
      <c r="E34" s="34" t="s">
        <v>44</v>
      </c>
      <c r="F34" s="89">
        <f>+SUM('Hampshire College'!L16:L18)</f>
        <v>0</v>
      </c>
      <c r="G34" s="90">
        <v>1000</v>
      </c>
      <c r="H34" s="90">
        <v>2000</v>
      </c>
      <c r="I34" s="90">
        <f>+IF(F34&gt;1000,G34,F34)</f>
        <v>0</v>
      </c>
      <c r="J34" s="90">
        <f>+IF(F34&gt;2000,H34,F34)</f>
        <v>0</v>
      </c>
      <c r="K34" s="90">
        <f>+IF(F34&gt;2000,H34,F34)</f>
        <v>0</v>
      </c>
    </row>
    <row r="35" spans="5:11">
      <c r="E35" s="34" t="s">
        <v>7</v>
      </c>
      <c r="F35" s="89">
        <f>+F34</f>
        <v>0</v>
      </c>
      <c r="G35" s="90">
        <v>500</v>
      </c>
      <c r="H35" s="90">
        <v>1000</v>
      </c>
      <c r="I35" s="90">
        <f>+IF(F35&gt;500,G35,F35)</f>
        <v>0</v>
      </c>
      <c r="J35" s="90">
        <f>+IF(F35&gt;1000,H35,F35)</f>
        <v>0</v>
      </c>
      <c r="K35" s="90">
        <f>+IF(F35&gt;1000,H35,F35)</f>
        <v>0</v>
      </c>
    </row>
  </sheetData>
  <mergeCells count="19">
    <mergeCell ref="J9:L9"/>
    <mergeCell ref="J2:L2"/>
    <mergeCell ref="B14:B15"/>
    <mergeCell ref="C14:C15"/>
    <mergeCell ref="F14:F15"/>
    <mergeCell ref="B2:B3"/>
    <mergeCell ref="C2:C3"/>
    <mergeCell ref="D2:D3"/>
    <mergeCell ref="E2:F2"/>
    <mergeCell ref="B4:B5"/>
    <mergeCell ref="C4:C5"/>
    <mergeCell ref="B16:B17"/>
    <mergeCell ref="F16:F17"/>
    <mergeCell ref="B6:B7"/>
    <mergeCell ref="B10:B11"/>
    <mergeCell ref="D10:D11"/>
    <mergeCell ref="E10:E11"/>
    <mergeCell ref="F10:F11"/>
    <mergeCell ref="E12:F1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B1:AK71"/>
  <sheetViews>
    <sheetView topLeftCell="C16" zoomScale="70" zoomScaleNormal="70" zoomScalePageLayoutView="70" workbookViewId="0">
      <selection activeCell="K27" sqref="K27"/>
    </sheetView>
  </sheetViews>
  <sheetFormatPr baseColWidth="10" defaultColWidth="8.83203125" defaultRowHeight="14" x14ac:dyDescent="0"/>
  <cols>
    <col min="2" max="2" width="17.5" bestFit="1" customWidth="1"/>
    <col min="3" max="8" width="18.5" customWidth="1"/>
  </cols>
  <sheetData>
    <row r="1" spans="2:8" ht="15" thickBot="1"/>
    <row r="2" spans="2:8" ht="21">
      <c r="B2" s="311"/>
      <c r="C2" s="312"/>
      <c r="D2" s="312"/>
      <c r="E2" s="312"/>
      <c r="F2" s="313"/>
      <c r="G2" s="108" t="s">
        <v>110</v>
      </c>
      <c r="H2" s="110" t="s">
        <v>110</v>
      </c>
    </row>
    <row r="3" spans="2:8" ht="28">
      <c r="B3" s="112" t="s">
        <v>113</v>
      </c>
      <c r="C3" s="113" t="s">
        <v>114</v>
      </c>
      <c r="D3" s="107" t="s">
        <v>115</v>
      </c>
      <c r="E3" s="107" t="s">
        <v>116</v>
      </c>
      <c r="F3" s="114" t="s">
        <v>117</v>
      </c>
      <c r="G3" s="109" t="s">
        <v>111</v>
      </c>
      <c r="H3" s="111" t="s">
        <v>112</v>
      </c>
    </row>
    <row r="4" spans="2:8" ht="21">
      <c r="B4" s="314" t="s">
        <v>118</v>
      </c>
      <c r="C4" s="315"/>
      <c r="D4" s="315"/>
      <c r="E4" s="315"/>
      <c r="F4" s="115"/>
      <c r="G4" s="116"/>
      <c r="H4" s="117"/>
    </row>
    <row r="5" spans="2:8">
      <c r="B5" s="118" t="s">
        <v>91</v>
      </c>
      <c r="C5" s="105">
        <v>102</v>
      </c>
      <c r="D5" s="119">
        <v>719</v>
      </c>
      <c r="E5" s="119">
        <v>135</v>
      </c>
      <c r="F5" s="120">
        <v>584</v>
      </c>
      <c r="G5" s="121">
        <v>3.16</v>
      </c>
      <c r="H5" s="122">
        <v>2.4E-2</v>
      </c>
    </row>
    <row r="6" spans="2:8">
      <c r="B6" s="118" t="s">
        <v>92</v>
      </c>
      <c r="C6" s="105">
        <v>48</v>
      </c>
      <c r="D6" s="119">
        <v>1437</v>
      </c>
      <c r="E6" s="119">
        <v>493</v>
      </c>
      <c r="F6" s="120">
        <v>944</v>
      </c>
      <c r="G6" s="121">
        <v>11.56</v>
      </c>
      <c r="H6" s="122">
        <v>2.4E-2</v>
      </c>
    </row>
    <row r="7" spans="2:8">
      <c r="B7" s="118" t="s">
        <v>6</v>
      </c>
      <c r="C7" s="105">
        <v>40</v>
      </c>
      <c r="D7" s="119">
        <v>2156</v>
      </c>
      <c r="E7" s="119">
        <v>740</v>
      </c>
      <c r="F7" s="120">
        <v>1416</v>
      </c>
      <c r="G7" s="121">
        <v>17.34</v>
      </c>
      <c r="H7" s="122">
        <v>2.4E-2</v>
      </c>
    </row>
    <row r="8" spans="2:8">
      <c r="B8" s="316" t="s">
        <v>119</v>
      </c>
      <c r="C8" s="317"/>
      <c r="D8" s="317"/>
      <c r="E8" s="317"/>
      <c r="F8" s="123"/>
      <c r="G8" s="124"/>
      <c r="H8" s="125"/>
    </row>
    <row r="9" spans="2:8">
      <c r="B9" s="126" t="s">
        <v>91</v>
      </c>
      <c r="C9" s="106">
        <v>55</v>
      </c>
      <c r="D9" s="127">
        <v>645</v>
      </c>
      <c r="E9" s="127">
        <v>69</v>
      </c>
      <c r="F9" s="128">
        <v>576</v>
      </c>
      <c r="G9" s="129">
        <v>1.61</v>
      </c>
      <c r="H9" s="130">
        <v>2.4E-2</v>
      </c>
    </row>
    <row r="10" spans="2:8">
      <c r="B10" s="131" t="s">
        <v>92</v>
      </c>
      <c r="C10" s="132">
        <v>15</v>
      </c>
      <c r="D10" s="127">
        <v>1289</v>
      </c>
      <c r="E10" s="127">
        <v>361</v>
      </c>
      <c r="F10" s="128">
        <v>928</v>
      </c>
      <c r="G10" s="129">
        <v>8.4700000000000006</v>
      </c>
      <c r="H10" s="130">
        <v>2.4E-2</v>
      </c>
    </row>
    <row r="11" spans="2:8">
      <c r="B11" s="126" t="s">
        <v>6</v>
      </c>
      <c r="C11" s="106">
        <v>33</v>
      </c>
      <c r="D11" s="127">
        <v>1933</v>
      </c>
      <c r="E11" s="127">
        <v>542</v>
      </c>
      <c r="F11" s="128">
        <v>1391</v>
      </c>
      <c r="G11" s="129">
        <v>12.7</v>
      </c>
      <c r="H11" s="130">
        <v>2.4E-2</v>
      </c>
    </row>
    <row r="12" spans="2:8" ht="21">
      <c r="B12" s="314" t="s">
        <v>120</v>
      </c>
      <c r="C12" s="315"/>
      <c r="D12" s="315"/>
      <c r="E12" s="315"/>
      <c r="F12" s="115"/>
      <c r="G12" s="133"/>
      <c r="H12" s="134"/>
    </row>
    <row r="13" spans="2:8">
      <c r="B13" s="118" t="s">
        <v>91</v>
      </c>
      <c r="C13" s="105">
        <v>15</v>
      </c>
      <c r="D13" s="119">
        <v>852</v>
      </c>
      <c r="E13" s="119">
        <v>253</v>
      </c>
      <c r="F13" s="120">
        <v>599</v>
      </c>
      <c r="G13" s="121">
        <v>5.94</v>
      </c>
      <c r="H13" s="122">
        <v>2.4E-2</v>
      </c>
    </row>
    <row r="14" spans="2:8">
      <c r="B14" s="118" t="s">
        <v>92</v>
      </c>
      <c r="C14" s="105">
        <v>8</v>
      </c>
      <c r="D14" s="119">
        <v>1704</v>
      </c>
      <c r="E14" s="119">
        <v>730</v>
      </c>
      <c r="F14" s="120">
        <v>973</v>
      </c>
      <c r="G14" s="121">
        <v>17.12</v>
      </c>
      <c r="H14" s="122">
        <v>2.4E-2</v>
      </c>
    </row>
    <row r="15" spans="2:8">
      <c r="B15" s="118" t="s">
        <v>6</v>
      </c>
      <c r="C15" s="105">
        <v>2</v>
      </c>
      <c r="D15" s="119">
        <v>2555</v>
      </c>
      <c r="E15" s="119">
        <v>1096</v>
      </c>
      <c r="F15" s="120">
        <v>1460</v>
      </c>
      <c r="G15" s="121">
        <v>25.68</v>
      </c>
      <c r="H15" s="122">
        <v>2.4E-2</v>
      </c>
    </row>
    <row r="16" spans="2:8">
      <c r="B16" s="135" t="s">
        <v>121</v>
      </c>
      <c r="C16" s="136">
        <v>318</v>
      </c>
      <c r="D16" s="137">
        <v>4543000</v>
      </c>
      <c r="E16" s="137">
        <v>1271000</v>
      </c>
      <c r="F16" s="137">
        <v>3272000</v>
      </c>
      <c r="G16" s="138"/>
      <c r="H16" s="139"/>
    </row>
    <row r="17" spans="2:37">
      <c r="B17" s="318" t="s">
        <v>122</v>
      </c>
      <c r="C17" s="319"/>
      <c r="D17" s="137">
        <v>594000</v>
      </c>
      <c r="E17" s="137">
        <v>30000</v>
      </c>
      <c r="F17" s="137">
        <v>565000</v>
      </c>
      <c r="G17" s="138"/>
      <c r="H17" s="140"/>
    </row>
    <row r="18" spans="2:37" ht="15" thickBot="1">
      <c r="B18" s="320" t="s">
        <v>123</v>
      </c>
      <c r="C18" s="321"/>
      <c r="D18" s="141">
        <v>0.15</v>
      </c>
      <c r="E18" s="141">
        <v>2.4E-2</v>
      </c>
      <c r="F18" s="141">
        <v>0.20899999999999999</v>
      </c>
      <c r="G18" s="142"/>
      <c r="H18" s="143"/>
    </row>
    <row r="20" spans="2:37">
      <c r="C20" t="s">
        <v>91</v>
      </c>
      <c r="D20">
        <v>102</v>
      </c>
      <c r="E20">
        <v>718.63269367499993</v>
      </c>
      <c r="F20">
        <v>134.77888000000002</v>
      </c>
      <c r="G20">
        <v>583.85381367499986</v>
      </c>
    </row>
    <row r="21" spans="2:37">
      <c r="C21" t="s">
        <v>92</v>
      </c>
      <c r="D21">
        <v>48</v>
      </c>
      <c r="E21">
        <v>1437.16934556</v>
      </c>
      <c r="F21">
        <v>493.20959999999997</v>
      </c>
      <c r="G21">
        <v>943.9597455600001</v>
      </c>
    </row>
    <row r="22" spans="2:37">
      <c r="C22" t="s">
        <v>6</v>
      </c>
      <c r="D22">
        <v>40</v>
      </c>
      <c r="E22">
        <v>2155.6099556549998</v>
      </c>
      <c r="F22">
        <v>739.77856000000008</v>
      </c>
      <c r="G22">
        <v>1415.8313956549996</v>
      </c>
    </row>
    <row r="23" spans="2:37">
      <c r="C23" t="s">
        <v>119</v>
      </c>
    </row>
    <row r="24" spans="2:37">
      <c r="C24" t="s">
        <v>91</v>
      </c>
      <c r="D24">
        <v>55</v>
      </c>
      <c r="E24">
        <v>644.53645269000003</v>
      </c>
      <c r="F24">
        <v>68.833280000000002</v>
      </c>
      <c r="G24">
        <v>575.70317268999997</v>
      </c>
    </row>
    <row r="25" spans="2:37">
      <c r="C25" t="s">
        <v>92</v>
      </c>
      <c r="D25">
        <v>15</v>
      </c>
      <c r="E25">
        <v>1289.034488664</v>
      </c>
      <c r="F25">
        <v>361.36959999999999</v>
      </c>
      <c r="G25">
        <v>927.66488866400005</v>
      </c>
    </row>
    <row r="26" spans="2:37">
      <c r="C26" t="s">
        <v>6</v>
      </c>
      <c r="D26">
        <v>33</v>
      </c>
      <c r="E26">
        <v>1933.4172744899997</v>
      </c>
      <c r="F26">
        <v>542.02368000000001</v>
      </c>
      <c r="G26">
        <v>1391.3935944899997</v>
      </c>
    </row>
    <row r="27" spans="2:37">
      <c r="C27" t="s">
        <v>120</v>
      </c>
    </row>
    <row r="28" spans="2:37">
      <c r="C28" t="s">
        <v>91</v>
      </c>
      <c r="D28">
        <v>15</v>
      </c>
      <c r="E28">
        <v>851.81384386799994</v>
      </c>
      <c r="F28">
        <v>253.30688000000001</v>
      </c>
      <c r="G28">
        <v>598.50696386799996</v>
      </c>
    </row>
    <row r="29" spans="2:37">
      <c r="C29" t="s">
        <v>92</v>
      </c>
      <c r="D29">
        <v>8</v>
      </c>
      <c r="E29">
        <v>1703.5412501249998</v>
      </c>
      <c r="F29">
        <v>730.27584000000002</v>
      </c>
      <c r="G29">
        <v>973.26541012499979</v>
      </c>
    </row>
    <row r="30" spans="2:37">
      <c r="C30" t="s">
        <v>6</v>
      </c>
      <c r="D30">
        <v>2</v>
      </c>
      <c r="E30">
        <v>2555.3166772770001</v>
      </c>
      <c r="F30">
        <v>1095.5059200000001</v>
      </c>
      <c r="G30">
        <v>1459.810757277</v>
      </c>
    </row>
    <row r="31" spans="2:37">
      <c r="B31" s="144"/>
      <c r="C31" s="145" t="s">
        <v>146</v>
      </c>
      <c r="D31" s="146"/>
      <c r="E31" s="144"/>
      <c r="F31" s="146"/>
      <c r="G31" s="146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7" t="s">
        <v>124</v>
      </c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</row>
    <row r="32" spans="2:37">
      <c r="B32" s="144"/>
      <c r="C32" s="144"/>
      <c r="D32" s="146"/>
      <c r="E32" s="144"/>
      <c r="F32" s="146"/>
      <c r="G32" s="146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8">
        <v>0.20849999999999999</v>
      </c>
      <c r="V32" s="144"/>
      <c r="W32" s="144"/>
      <c r="X32" s="144"/>
      <c r="Y32" s="144"/>
      <c r="Z32" s="144"/>
      <c r="AA32" s="144"/>
      <c r="AB32" s="149">
        <v>2.4E-2</v>
      </c>
      <c r="AC32" s="144"/>
      <c r="AD32" s="144"/>
      <c r="AE32" s="144"/>
      <c r="AF32" s="144"/>
      <c r="AG32" s="144"/>
      <c r="AH32" s="144"/>
      <c r="AI32" s="144"/>
      <c r="AJ32" s="144"/>
      <c r="AK32" s="144"/>
    </row>
    <row r="33" spans="2:37" ht="16" thickBot="1">
      <c r="B33" s="144"/>
      <c r="C33" s="150" t="s">
        <v>125</v>
      </c>
      <c r="D33" s="146"/>
      <c r="E33" s="144"/>
      <c r="F33" s="146"/>
      <c r="G33" s="146"/>
      <c r="H33" s="144"/>
      <c r="I33" s="144"/>
      <c r="J33" s="144"/>
      <c r="K33" s="144"/>
      <c r="L33" s="144"/>
      <c r="M33" s="144"/>
      <c r="N33" s="144"/>
      <c r="O33" s="144"/>
      <c r="P33" s="144"/>
      <c r="Q33" s="147" t="s">
        <v>126</v>
      </c>
      <c r="R33" s="144"/>
      <c r="S33" s="144"/>
      <c r="T33" s="144"/>
      <c r="U33" s="144"/>
      <c r="V33" s="144"/>
      <c r="W33" s="144"/>
      <c r="X33" s="144"/>
      <c r="Y33" s="147" t="s">
        <v>126</v>
      </c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</row>
    <row r="34" spans="2:37">
      <c r="B34" s="151"/>
      <c r="C34" s="322" t="s">
        <v>127</v>
      </c>
      <c r="D34" s="323"/>
      <c r="E34" s="323"/>
      <c r="F34" s="323"/>
      <c r="G34" s="323"/>
      <c r="H34" s="323"/>
      <c r="I34" s="322" t="s">
        <v>128</v>
      </c>
      <c r="J34" s="323"/>
      <c r="K34" s="323"/>
      <c r="L34" s="323"/>
      <c r="M34" s="323"/>
      <c r="N34" s="324" t="s">
        <v>129</v>
      </c>
      <c r="O34" s="309" t="s">
        <v>130</v>
      </c>
      <c r="P34" s="303" t="s">
        <v>131</v>
      </c>
      <c r="Q34" s="301" t="s">
        <v>132</v>
      </c>
      <c r="R34" s="302"/>
      <c r="S34" s="302"/>
      <c r="T34" s="302"/>
      <c r="U34" s="305"/>
      <c r="V34" s="292" t="s">
        <v>129</v>
      </c>
      <c r="W34" s="294" t="s">
        <v>130</v>
      </c>
      <c r="X34" s="307" t="s">
        <v>131</v>
      </c>
      <c r="Y34" s="301" t="s">
        <v>132</v>
      </c>
      <c r="Z34" s="302"/>
      <c r="AA34" s="302"/>
      <c r="AB34" s="302"/>
      <c r="AC34" s="302"/>
      <c r="AD34" s="292" t="s">
        <v>129</v>
      </c>
      <c r="AE34" s="294" t="s">
        <v>130</v>
      </c>
      <c r="AF34" s="294" t="s">
        <v>131</v>
      </c>
      <c r="AG34" s="152"/>
      <c r="AH34" s="151">
        <v>24</v>
      </c>
      <c r="AI34" s="151"/>
      <c r="AJ34" s="151"/>
      <c r="AK34" s="151"/>
    </row>
    <row r="35" spans="2:37" ht="42">
      <c r="B35" s="151"/>
      <c r="C35" s="153" t="s">
        <v>113</v>
      </c>
      <c r="D35" s="154" t="s">
        <v>114</v>
      </c>
      <c r="E35" s="155" t="s">
        <v>133</v>
      </c>
      <c r="F35" s="155" t="s">
        <v>116</v>
      </c>
      <c r="G35" s="155" t="s">
        <v>117</v>
      </c>
      <c r="H35" s="155" t="s">
        <v>134</v>
      </c>
      <c r="I35" s="153" t="s">
        <v>113</v>
      </c>
      <c r="J35" s="154" t="s">
        <v>114</v>
      </c>
      <c r="K35" s="155" t="s">
        <v>133</v>
      </c>
      <c r="L35" s="155" t="s">
        <v>116</v>
      </c>
      <c r="M35" s="155" t="s">
        <v>117</v>
      </c>
      <c r="N35" s="325"/>
      <c r="O35" s="310"/>
      <c r="P35" s="304"/>
      <c r="Q35" s="156" t="s">
        <v>113</v>
      </c>
      <c r="R35" s="157" t="s">
        <v>114</v>
      </c>
      <c r="S35" s="158" t="s">
        <v>133</v>
      </c>
      <c r="T35" s="158" t="s">
        <v>116</v>
      </c>
      <c r="U35" s="158" t="s">
        <v>117</v>
      </c>
      <c r="V35" s="306"/>
      <c r="W35" s="295"/>
      <c r="X35" s="308"/>
      <c r="Y35" s="156" t="s">
        <v>113</v>
      </c>
      <c r="Z35" s="157" t="s">
        <v>114</v>
      </c>
      <c r="AA35" s="158" t="s">
        <v>133</v>
      </c>
      <c r="AB35" s="158" t="s">
        <v>116</v>
      </c>
      <c r="AC35" s="158" t="s">
        <v>117</v>
      </c>
      <c r="AD35" s="293"/>
      <c r="AE35" s="295"/>
      <c r="AF35" s="296"/>
      <c r="AG35" s="159"/>
      <c r="AH35" s="151"/>
      <c r="AI35" s="151"/>
      <c r="AJ35" s="151"/>
      <c r="AK35" s="151"/>
    </row>
    <row r="36" spans="2:37" ht="28">
      <c r="B36" s="144"/>
      <c r="C36" s="160" t="s">
        <v>135</v>
      </c>
      <c r="D36" s="161"/>
      <c r="E36" s="162"/>
      <c r="F36" s="161"/>
      <c r="G36" s="161"/>
      <c r="H36" s="162"/>
      <c r="I36" s="160" t="s">
        <v>135</v>
      </c>
      <c r="J36" s="161"/>
      <c r="K36" s="162"/>
      <c r="L36" s="161"/>
      <c r="M36" s="161"/>
      <c r="N36" s="163"/>
      <c r="O36" s="164"/>
      <c r="P36" s="164"/>
      <c r="Q36" s="297" t="s">
        <v>118</v>
      </c>
      <c r="R36" s="298"/>
      <c r="S36" s="298"/>
      <c r="T36" s="298"/>
      <c r="U36" s="161"/>
      <c r="V36" s="163"/>
      <c r="W36" s="164"/>
      <c r="X36" s="164"/>
      <c r="Y36" s="297" t="s">
        <v>118</v>
      </c>
      <c r="Z36" s="298"/>
      <c r="AA36" s="298"/>
      <c r="AB36" s="298"/>
      <c r="AC36" s="161"/>
      <c r="AD36" s="163"/>
      <c r="AE36" s="164"/>
      <c r="AF36" s="164"/>
      <c r="AG36" s="165"/>
      <c r="AH36" t="s">
        <v>136</v>
      </c>
    </row>
    <row r="37" spans="2:37" ht="28">
      <c r="B37" s="144"/>
      <c r="C37" s="166" t="s">
        <v>91</v>
      </c>
      <c r="D37" s="167">
        <v>102</v>
      </c>
      <c r="E37" s="168">
        <v>624.57999999999993</v>
      </c>
      <c r="F37" s="168">
        <v>131.62</v>
      </c>
      <c r="G37" s="168">
        <v>492.96</v>
      </c>
      <c r="H37" s="169">
        <v>0.21073361298792792</v>
      </c>
      <c r="I37" s="166" t="s">
        <v>91</v>
      </c>
      <c r="J37" s="167">
        <v>102</v>
      </c>
      <c r="K37" s="170">
        <v>748.25</v>
      </c>
      <c r="L37" s="168">
        <v>157.68142591821706</v>
      </c>
      <c r="M37" s="168">
        <v>590.56857408178291</v>
      </c>
      <c r="N37" s="171">
        <v>26.061425918217054</v>
      </c>
      <c r="O37" s="172">
        <v>312.73711101860465</v>
      </c>
      <c r="P37" s="173">
        <v>0.19800505939991683</v>
      </c>
      <c r="Q37" s="166" t="s">
        <v>91</v>
      </c>
      <c r="R37" s="167">
        <v>102</v>
      </c>
      <c r="S37" s="168">
        <v>718.63269367499993</v>
      </c>
      <c r="T37" s="168">
        <v>122.89053367500003</v>
      </c>
      <c r="U37" s="168">
        <v>595.7421599999999</v>
      </c>
      <c r="V37" s="171">
        <v>-8.7294663249999758</v>
      </c>
      <c r="W37" s="174">
        <v>-104.75359589999971</v>
      </c>
      <c r="X37" s="173">
        <v>-6.6323251215620549E-2</v>
      </c>
      <c r="Y37" s="166" t="s">
        <v>91</v>
      </c>
      <c r="Z37" s="167">
        <v>102</v>
      </c>
      <c r="AA37" s="170">
        <v>718.63269367499993</v>
      </c>
      <c r="AB37" s="170">
        <v>134.77888000000002</v>
      </c>
      <c r="AC37" s="170">
        <v>583.85381367499986</v>
      </c>
      <c r="AD37" s="175">
        <v>3.1588800000000106</v>
      </c>
      <c r="AE37" s="174">
        <v>37.906560000000127</v>
      </c>
      <c r="AF37" s="173">
        <v>2.4000000000000021E-2</v>
      </c>
      <c r="AG37" s="176"/>
      <c r="AH37">
        <v>67.39</v>
      </c>
      <c r="AJ37" s="263">
        <f>+AB37/$AB$37</f>
        <v>1</v>
      </c>
      <c r="AK37" s="263">
        <f>+F37/$F$37</f>
        <v>1</v>
      </c>
    </row>
    <row r="38" spans="2:37">
      <c r="B38" s="144"/>
      <c r="C38" s="166" t="s">
        <v>92</v>
      </c>
      <c r="D38" s="167">
        <v>48</v>
      </c>
      <c r="E38" s="168">
        <v>1249.08</v>
      </c>
      <c r="F38" s="168">
        <v>481.65</v>
      </c>
      <c r="G38" s="168">
        <v>767.43</v>
      </c>
      <c r="H38" s="169">
        <v>0.38560380440003844</v>
      </c>
      <c r="I38" s="166" t="s">
        <v>92</v>
      </c>
      <c r="J38" s="167">
        <v>48</v>
      </c>
      <c r="K38" s="170">
        <v>1496.4</v>
      </c>
      <c r="L38" s="168">
        <v>577.01753290421755</v>
      </c>
      <c r="M38" s="168">
        <v>919.38246709578254</v>
      </c>
      <c r="N38" s="171">
        <v>95.367532904217569</v>
      </c>
      <c r="O38" s="172">
        <v>1144.4103948506108</v>
      </c>
      <c r="P38" s="173">
        <v>0.1980017292727449</v>
      </c>
      <c r="Q38" s="166" t="s">
        <v>92</v>
      </c>
      <c r="R38" s="167">
        <v>48</v>
      </c>
      <c r="S38" s="168">
        <v>1437.16934556</v>
      </c>
      <c r="T38" s="168">
        <v>509.7301905600001</v>
      </c>
      <c r="U38" s="168">
        <v>927.43915499999991</v>
      </c>
      <c r="V38" s="171">
        <v>28.080190560000119</v>
      </c>
      <c r="W38" s="174">
        <v>336.96228672000143</v>
      </c>
      <c r="X38" s="173">
        <v>5.8299990781688127E-2</v>
      </c>
      <c r="Y38" s="166" t="s">
        <v>92</v>
      </c>
      <c r="Z38" s="167">
        <v>48</v>
      </c>
      <c r="AA38" s="170">
        <v>1437.16934556</v>
      </c>
      <c r="AB38" s="170">
        <v>493.20959999999997</v>
      </c>
      <c r="AC38" s="170">
        <v>943.9597455600001</v>
      </c>
      <c r="AD38" s="175">
        <v>11.559599999999989</v>
      </c>
      <c r="AE38" s="174">
        <v>138.71519999999987</v>
      </c>
      <c r="AF38" s="173">
        <v>2.4000000000000021E-2</v>
      </c>
      <c r="AG38" s="176"/>
      <c r="AH38">
        <v>246.6</v>
      </c>
      <c r="AJ38" s="263">
        <f>+AB38/$AB$37</f>
        <v>3.6593982677404644</v>
      </c>
      <c r="AK38" s="263">
        <f>+F38/$F$37</f>
        <v>3.6593982677404648</v>
      </c>
    </row>
    <row r="39" spans="2:37">
      <c r="B39" s="144"/>
      <c r="C39" s="166" t="s">
        <v>6</v>
      </c>
      <c r="D39" s="167">
        <v>40</v>
      </c>
      <c r="E39" s="168">
        <v>1873.5</v>
      </c>
      <c r="F39" s="168">
        <v>722.44</v>
      </c>
      <c r="G39" s="168">
        <v>1151.06</v>
      </c>
      <c r="H39" s="169">
        <v>0.38560982119028558</v>
      </c>
      <c r="I39" s="166" t="s">
        <v>6</v>
      </c>
      <c r="J39" s="167">
        <v>40</v>
      </c>
      <c r="K39" s="170">
        <v>2244.4499999999998</v>
      </c>
      <c r="L39" s="168">
        <v>865.48196317053646</v>
      </c>
      <c r="M39" s="168">
        <v>1378.9680368294635</v>
      </c>
      <c r="N39" s="171">
        <v>143.04196317053641</v>
      </c>
      <c r="O39" s="172">
        <v>1716.5035580464369</v>
      </c>
      <c r="P39" s="173">
        <v>0.19799839871897512</v>
      </c>
      <c r="Q39" s="166" t="s">
        <v>6</v>
      </c>
      <c r="R39" s="167">
        <v>40</v>
      </c>
      <c r="S39" s="168">
        <v>2155.6099556549998</v>
      </c>
      <c r="T39" s="168">
        <v>764.55394565500001</v>
      </c>
      <c r="U39" s="168">
        <v>1391.0560099999998</v>
      </c>
      <c r="V39" s="171">
        <v>42.113945654999952</v>
      </c>
      <c r="W39" s="174">
        <v>505.36734785999943</v>
      </c>
      <c r="X39" s="173">
        <v>5.8294039165882161E-2</v>
      </c>
      <c r="Y39" s="166" t="s">
        <v>6</v>
      </c>
      <c r="Z39" s="167">
        <v>40</v>
      </c>
      <c r="AA39" s="170">
        <v>2155.6099556549998</v>
      </c>
      <c r="AB39" s="170">
        <v>739.77856000000008</v>
      </c>
      <c r="AC39" s="170">
        <v>1415.8313956549996</v>
      </c>
      <c r="AD39" s="175">
        <v>17.33856000000003</v>
      </c>
      <c r="AE39" s="174">
        <v>208.06272000000035</v>
      </c>
      <c r="AF39" s="173">
        <v>2.4000000000000021E-2</v>
      </c>
      <c r="AG39" s="176"/>
      <c r="AH39">
        <v>369.89</v>
      </c>
      <c r="AJ39" s="263">
        <f>+AB39/$AB$37</f>
        <v>5.4888314845768118</v>
      </c>
      <c r="AK39" s="263">
        <f>+F39/$F$37</f>
        <v>5.4888314845768127</v>
      </c>
    </row>
    <row r="40" spans="2:37" ht="42">
      <c r="B40" s="144"/>
      <c r="C40" s="177" t="s">
        <v>137</v>
      </c>
      <c r="D40" s="178"/>
      <c r="E40" s="179"/>
      <c r="F40" s="180"/>
      <c r="G40" s="180"/>
      <c r="H40" s="179"/>
      <c r="I40" s="177" t="s">
        <v>137</v>
      </c>
      <c r="J40" s="178"/>
      <c r="K40" s="179"/>
      <c r="L40" s="180"/>
      <c r="M40" s="180"/>
      <c r="N40" s="181"/>
      <c r="O40" s="179"/>
      <c r="P40" s="182"/>
      <c r="Q40" s="299" t="s">
        <v>119</v>
      </c>
      <c r="R40" s="300"/>
      <c r="S40" s="300"/>
      <c r="T40" s="300"/>
      <c r="U40" s="180"/>
      <c r="V40" s="181"/>
      <c r="W40" s="179"/>
      <c r="X40" s="183"/>
      <c r="Y40" s="299" t="s">
        <v>119</v>
      </c>
      <c r="Z40" s="300"/>
      <c r="AA40" s="300"/>
      <c r="AB40" s="300"/>
      <c r="AC40" s="180"/>
      <c r="AD40" s="184"/>
      <c r="AE40" s="179"/>
      <c r="AF40" s="183"/>
      <c r="AG40" s="182"/>
    </row>
    <row r="41" spans="2:37" ht="28">
      <c r="B41" s="144"/>
      <c r="C41" s="185" t="s">
        <v>91</v>
      </c>
      <c r="D41" s="186">
        <v>55</v>
      </c>
      <c r="E41" s="187">
        <v>560.17999999999995</v>
      </c>
      <c r="F41" s="188">
        <v>67.22</v>
      </c>
      <c r="G41" s="188">
        <v>492.96</v>
      </c>
      <c r="H41" s="189">
        <v>0.11999714377521511</v>
      </c>
      <c r="I41" s="185" t="s">
        <v>91</v>
      </c>
      <c r="J41" s="186">
        <v>55</v>
      </c>
      <c r="K41" s="187">
        <v>671.1</v>
      </c>
      <c r="L41" s="188">
        <v>80.53142591821711</v>
      </c>
      <c r="M41" s="188">
        <v>590.56857408178291</v>
      </c>
      <c r="N41" s="190">
        <v>13.311425918217111</v>
      </c>
      <c r="O41" s="191">
        <v>159.73711101860533</v>
      </c>
      <c r="P41" s="192">
        <v>0.19802775837871334</v>
      </c>
      <c r="Q41" s="185" t="s">
        <v>91</v>
      </c>
      <c r="R41" s="186">
        <v>55</v>
      </c>
      <c r="S41" s="187">
        <v>644.53645269000003</v>
      </c>
      <c r="T41" s="168">
        <v>48.794292690000134</v>
      </c>
      <c r="U41" s="168">
        <v>595.7421599999999</v>
      </c>
      <c r="V41" s="190">
        <v>-18.425707309999865</v>
      </c>
      <c r="W41" s="193">
        <v>-221.10848771999838</v>
      </c>
      <c r="X41" s="194">
        <v>-0.27411049256173559</v>
      </c>
      <c r="Y41" s="185" t="s">
        <v>91</v>
      </c>
      <c r="Z41" s="186">
        <v>55</v>
      </c>
      <c r="AA41" s="195">
        <v>644.53645269000003</v>
      </c>
      <c r="AB41" s="195">
        <v>68.833280000000002</v>
      </c>
      <c r="AC41" s="195">
        <v>575.70317268999997</v>
      </c>
      <c r="AD41" s="196">
        <v>1.6132800000000032</v>
      </c>
      <c r="AE41" s="193">
        <v>19.359360000000038</v>
      </c>
      <c r="AF41" s="194">
        <v>2.4000000000000021E-2</v>
      </c>
      <c r="AG41" s="192"/>
      <c r="AH41">
        <v>34.42</v>
      </c>
    </row>
    <row r="42" spans="2:37">
      <c r="B42" s="144"/>
      <c r="C42" s="197" t="s">
        <v>92</v>
      </c>
      <c r="D42" s="198">
        <v>15</v>
      </c>
      <c r="E42" s="187">
        <v>1120.33</v>
      </c>
      <c r="F42" s="187">
        <v>352.9</v>
      </c>
      <c r="G42" s="187">
        <v>767.43</v>
      </c>
      <c r="H42" s="189">
        <v>0.31499647425312183</v>
      </c>
      <c r="I42" s="197" t="s">
        <v>92</v>
      </c>
      <c r="J42" s="198">
        <v>15</v>
      </c>
      <c r="K42" s="187">
        <v>1342.16</v>
      </c>
      <c r="L42" s="188">
        <v>422.77753290421754</v>
      </c>
      <c r="M42" s="188">
        <v>919.38246709578254</v>
      </c>
      <c r="N42" s="190">
        <v>69.87753290421756</v>
      </c>
      <c r="O42" s="191">
        <v>838.53039485061072</v>
      </c>
      <c r="P42" s="192">
        <v>0.19800944433045498</v>
      </c>
      <c r="Q42" s="197" t="s">
        <v>92</v>
      </c>
      <c r="R42" s="198">
        <v>15</v>
      </c>
      <c r="S42" s="187">
        <v>1289.034488664</v>
      </c>
      <c r="T42" s="168">
        <v>361.59533366400012</v>
      </c>
      <c r="U42" s="168">
        <v>927.43915499999991</v>
      </c>
      <c r="V42" s="190">
        <v>8.6953336640001453</v>
      </c>
      <c r="W42" s="193">
        <v>104.34400396800174</v>
      </c>
      <c r="X42" s="194">
        <v>2.4639653340890133E-2</v>
      </c>
      <c r="Y42" s="197" t="s">
        <v>92</v>
      </c>
      <c r="Z42" s="198">
        <v>15</v>
      </c>
      <c r="AA42" s="195">
        <v>1289.034488664</v>
      </c>
      <c r="AB42" s="195">
        <v>361.36959999999999</v>
      </c>
      <c r="AC42" s="195">
        <v>927.66488866400005</v>
      </c>
      <c r="AD42" s="196">
        <v>8.469600000000014</v>
      </c>
      <c r="AE42" s="193">
        <v>101.63520000000017</v>
      </c>
      <c r="AF42" s="194">
        <v>2.4000000000000021E-2</v>
      </c>
      <c r="AG42" s="192"/>
      <c r="AH42">
        <v>180.68</v>
      </c>
    </row>
    <row r="43" spans="2:37">
      <c r="B43" s="144"/>
      <c r="C43" s="185" t="s">
        <v>6</v>
      </c>
      <c r="D43" s="186">
        <v>33</v>
      </c>
      <c r="E43" s="187">
        <v>1680.38</v>
      </c>
      <c r="F43" s="188">
        <v>529.32000000000005</v>
      </c>
      <c r="G43" s="188">
        <v>1151.06</v>
      </c>
      <c r="H43" s="189">
        <v>0.31500017853104656</v>
      </c>
      <c r="I43" s="185" t="s">
        <v>6</v>
      </c>
      <c r="J43" s="186">
        <v>33</v>
      </c>
      <c r="K43" s="187">
        <v>2013.1</v>
      </c>
      <c r="L43" s="188">
        <v>634.13196317053644</v>
      </c>
      <c r="M43" s="188">
        <v>1378.9680368294635</v>
      </c>
      <c r="N43" s="190">
        <v>104.81196317053639</v>
      </c>
      <c r="O43" s="191">
        <v>1257.7435580464366</v>
      </c>
      <c r="P43" s="192">
        <v>0.19801247481775935</v>
      </c>
      <c r="Q43" s="185" t="s">
        <v>6</v>
      </c>
      <c r="R43" s="186">
        <v>33</v>
      </c>
      <c r="S43" s="187">
        <v>1933.4172744899997</v>
      </c>
      <c r="T43" s="168">
        <v>542.36126448999994</v>
      </c>
      <c r="U43" s="168">
        <v>1391.0560099999998</v>
      </c>
      <c r="V43" s="190">
        <v>13.04126448999989</v>
      </c>
      <c r="W43" s="193">
        <v>156.49517387999867</v>
      </c>
      <c r="X43" s="194">
        <v>2.4637770139046111E-2</v>
      </c>
      <c r="Y43" s="185" t="s">
        <v>6</v>
      </c>
      <c r="Z43" s="186">
        <v>33</v>
      </c>
      <c r="AA43" s="195">
        <v>1933.4172744899997</v>
      </c>
      <c r="AB43" s="195">
        <v>542.02368000000001</v>
      </c>
      <c r="AC43" s="195">
        <v>1391.3935944899997</v>
      </c>
      <c r="AD43" s="196">
        <v>12.703679999999963</v>
      </c>
      <c r="AE43" s="193">
        <v>152.44415999999956</v>
      </c>
      <c r="AF43" s="194">
        <v>2.4000000000000021E-2</v>
      </c>
      <c r="AG43" s="192"/>
      <c r="AH43">
        <v>271.01</v>
      </c>
    </row>
    <row r="44" spans="2:37">
      <c r="B44" s="144"/>
      <c r="C44" s="199" t="s">
        <v>7</v>
      </c>
      <c r="D44" s="200"/>
      <c r="E44" s="201"/>
      <c r="F44" s="201"/>
      <c r="G44" s="201"/>
      <c r="H44" s="202"/>
      <c r="I44" s="199" t="s">
        <v>7</v>
      </c>
      <c r="J44" s="200"/>
      <c r="K44" s="201"/>
      <c r="L44" s="201"/>
      <c r="M44" s="201"/>
      <c r="N44" s="203"/>
      <c r="O44" s="201"/>
      <c r="P44" s="176"/>
      <c r="Q44" s="290" t="s">
        <v>120</v>
      </c>
      <c r="R44" s="291"/>
      <c r="S44" s="291"/>
      <c r="T44" s="291"/>
      <c r="U44" s="201"/>
      <c r="V44" s="203"/>
      <c r="W44" s="201"/>
      <c r="X44" s="173"/>
      <c r="Y44" s="290" t="s">
        <v>120</v>
      </c>
      <c r="Z44" s="291"/>
      <c r="AA44" s="291"/>
      <c r="AB44" s="291"/>
      <c r="AC44" s="201"/>
      <c r="AD44" s="204"/>
      <c r="AE44" s="201"/>
      <c r="AF44" s="173"/>
      <c r="AG44" s="176"/>
    </row>
    <row r="45" spans="2:37" ht="28">
      <c r="B45" s="144"/>
      <c r="C45" s="205" t="s">
        <v>91</v>
      </c>
      <c r="D45" s="200">
        <v>15</v>
      </c>
      <c r="E45" s="201">
        <v>740.32999999999993</v>
      </c>
      <c r="F45" s="201">
        <v>247.37</v>
      </c>
      <c r="G45" s="201">
        <v>492.96</v>
      </c>
      <c r="H45" s="202">
        <v>0.33413477773425371</v>
      </c>
      <c r="I45" s="205" t="s">
        <v>91</v>
      </c>
      <c r="J45" s="200">
        <v>15</v>
      </c>
      <c r="K45" s="201">
        <v>886.92</v>
      </c>
      <c r="L45" s="201">
        <v>296.35142591821705</v>
      </c>
      <c r="M45" s="201">
        <v>590.56857408178291</v>
      </c>
      <c r="N45" s="171">
        <v>48.981425918217042</v>
      </c>
      <c r="O45" s="172">
        <v>587.7771110186045</v>
      </c>
      <c r="P45" s="206">
        <v>0.19800875578371283</v>
      </c>
      <c r="Q45" s="205" t="s">
        <v>91</v>
      </c>
      <c r="R45" s="200">
        <v>15</v>
      </c>
      <c r="S45" s="201">
        <v>851.81384386799994</v>
      </c>
      <c r="T45" s="168">
        <v>256.07168386800004</v>
      </c>
      <c r="U45" s="168">
        <v>595.7421599999999</v>
      </c>
      <c r="V45" s="171">
        <v>8.7016838680000319</v>
      </c>
      <c r="W45" s="174">
        <v>104.42020641600038</v>
      </c>
      <c r="X45" s="173">
        <v>3.5176795359178614E-2</v>
      </c>
      <c r="Y45" s="205" t="s">
        <v>91</v>
      </c>
      <c r="Z45" s="200">
        <v>15</v>
      </c>
      <c r="AA45" s="170">
        <v>851.81384386799994</v>
      </c>
      <c r="AB45" s="170">
        <v>253.30688000000001</v>
      </c>
      <c r="AC45" s="170">
        <v>598.50696386799996</v>
      </c>
      <c r="AD45" s="175">
        <v>5.9368800000000022</v>
      </c>
      <c r="AE45" s="174">
        <v>71.242560000000026</v>
      </c>
      <c r="AF45" s="173">
        <v>2.4000000000000021E-2</v>
      </c>
      <c r="AG45" s="176"/>
      <c r="AH45">
        <v>126.65</v>
      </c>
    </row>
    <row r="46" spans="2:37">
      <c r="B46" s="144"/>
      <c r="C46" s="205" t="s">
        <v>92</v>
      </c>
      <c r="D46" s="200">
        <v>8</v>
      </c>
      <c r="E46" s="201">
        <v>1480.59</v>
      </c>
      <c r="F46" s="201">
        <v>713.16</v>
      </c>
      <c r="G46" s="201">
        <v>767.43</v>
      </c>
      <c r="H46" s="202">
        <v>0.48167284663546289</v>
      </c>
      <c r="I46" s="205" t="s">
        <v>92</v>
      </c>
      <c r="J46" s="200">
        <v>8</v>
      </c>
      <c r="K46" s="201">
        <v>1773.75</v>
      </c>
      <c r="L46" s="201">
        <v>854.36753290421746</v>
      </c>
      <c r="M46" s="201">
        <v>919.38246709578254</v>
      </c>
      <c r="N46" s="171">
        <v>141.20753290421749</v>
      </c>
      <c r="O46" s="172">
        <v>1694.4903948506098</v>
      </c>
      <c r="P46" s="206">
        <v>0.19800259816060561</v>
      </c>
      <c r="Q46" s="205" t="s">
        <v>92</v>
      </c>
      <c r="R46" s="200">
        <v>8</v>
      </c>
      <c r="S46" s="201">
        <v>1703.5412501249998</v>
      </c>
      <c r="T46" s="168">
        <v>776.10209512499989</v>
      </c>
      <c r="U46" s="168">
        <v>927.43915499999991</v>
      </c>
      <c r="V46" s="171">
        <v>62.942095124999923</v>
      </c>
      <c r="W46" s="174">
        <v>755.30514149999908</v>
      </c>
      <c r="X46" s="173">
        <v>8.825802782685499E-2</v>
      </c>
      <c r="Y46" s="205" t="s">
        <v>92</v>
      </c>
      <c r="Z46" s="200">
        <v>8</v>
      </c>
      <c r="AA46" s="170">
        <v>1703.5412501249998</v>
      </c>
      <c r="AB46" s="170">
        <v>730.27584000000002</v>
      </c>
      <c r="AC46" s="170">
        <v>973.26541012499979</v>
      </c>
      <c r="AD46" s="175">
        <v>17.115840000000048</v>
      </c>
      <c r="AE46" s="174">
        <v>205.39008000000058</v>
      </c>
      <c r="AF46" s="173">
        <v>2.4000000000000021E-2</v>
      </c>
      <c r="AG46" s="176"/>
      <c r="AH46">
        <v>365.14</v>
      </c>
    </row>
    <row r="47" spans="2:37">
      <c r="B47" s="144"/>
      <c r="C47" s="205" t="s">
        <v>6</v>
      </c>
      <c r="D47" s="200">
        <v>2</v>
      </c>
      <c r="E47" s="201">
        <v>2220.89</v>
      </c>
      <c r="F47" s="201">
        <v>1069.83</v>
      </c>
      <c r="G47" s="201">
        <v>1151.06</v>
      </c>
      <c r="H47" s="202">
        <v>0.4817122865157662</v>
      </c>
      <c r="I47" s="205" t="s">
        <v>6</v>
      </c>
      <c r="J47" s="200">
        <v>2</v>
      </c>
      <c r="K47" s="201">
        <v>2660.63</v>
      </c>
      <c r="L47" s="201">
        <v>1281.6619631705366</v>
      </c>
      <c r="M47" s="201">
        <v>1378.9680368294635</v>
      </c>
      <c r="N47" s="171">
        <v>211.83196317053671</v>
      </c>
      <c r="O47" s="172">
        <v>2541.9835580464405</v>
      </c>
      <c r="P47" s="206">
        <v>0.19800525613465383</v>
      </c>
      <c r="Q47" s="205" t="s">
        <v>6</v>
      </c>
      <c r="R47" s="200">
        <v>2</v>
      </c>
      <c r="S47" s="201">
        <v>2555.3166772770001</v>
      </c>
      <c r="T47" s="168">
        <v>1164.2606672770003</v>
      </c>
      <c r="U47" s="168">
        <v>1391.0560099999998</v>
      </c>
      <c r="V47" s="171">
        <v>94.430667277000339</v>
      </c>
      <c r="W47" s="174">
        <v>1133.1680073240041</v>
      </c>
      <c r="X47" s="173">
        <v>8.8266983798360732E-2</v>
      </c>
      <c r="Y47" s="205" t="s">
        <v>6</v>
      </c>
      <c r="Z47" s="200">
        <v>2</v>
      </c>
      <c r="AA47" s="170">
        <v>2555.3166772770001</v>
      </c>
      <c r="AB47" s="170">
        <v>1095.5059200000001</v>
      </c>
      <c r="AC47" s="170">
        <v>1459.810757277</v>
      </c>
      <c r="AD47" s="175">
        <v>25.675920000000133</v>
      </c>
      <c r="AE47" s="174">
        <v>308.11104000000159</v>
      </c>
      <c r="AF47" s="173">
        <v>2.4000000000000021E-2</v>
      </c>
      <c r="AG47" s="176"/>
      <c r="AH47">
        <v>547.75</v>
      </c>
    </row>
    <row r="48" spans="2:37">
      <c r="B48" s="144"/>
      <c r="C48" s="207"/>
      <c r="D48" s="208"/>
      <c r="E48" s="209"/>
      <c r="F48" s="208"/>
      <c r="G48" s="208"/>
      <c r="H48" s="210"/>
      <c r="I48" s="211"/>
      <c r="J48" s="210"/>
      <c r="K48" s="210"/>
      <c r="L48" s="210"/>
      <c r="M48" s="210"/>
      <c r="N48" s="212"/>
      <c r="O48" s="213"/>
      <c r="P48" s="214"/>
      <c r="Q48" s="213"/>
      <c r="R48" s="213"/>
      <c r="S48" s="213"/>
      <c r="T48" s="213"/>
      <c r="U48" s="213"/>
      <c r="V48" s="213"/>
      <c r="W48" s="213"/>
      <c r="X48" s="213"/>
      <c r="Y48" s="215"/>
      <c r="Z48" s="213"/>
      <c r="AA48" s="213"/>
      <c r="AB48" s="213"/>
      <c r="AC48" s="213"/>
      <c r="AD48" s="213"/>
      <c r="AE48" s="213"/>
      <c r="AF48" s="213"/>
      <c r="AG48" s="214"/>
    </row>
    <row r="49" spans="2:37">
      <c r="B49" s="144"/>
      <c r="C49" s="216"/>
      <c r="D49" s="217"/>
      <c r="E49" s="209"/>
      <c r="F49" s="217"/>
      <c r="G49" s="217"/>
      <c r="H49" s="218"/>
      <c r="I49" s="219"/>
      <c r="J49" s="218"/>
      <c r="K49" s="218"/>
      <c r="L49" s="218"/>
      <c r="M49" s="218"/>
      <c r="N49" s="220"/>
      <c r="O49" s="221"/>
      <c r="P49" s="222"/>
      <c r="Q49" s="221"/>
      <c r="R49" s="221"/>
      <c r="S49" s="221"/>
      <c r="T49" s="221"/>
      <c r="U49" s="221"/>
      <c r="V49" s="221"/>
      <c r="W49" s="221"/>
      <c r="X49" s="221"/>
      <c r="Y49" s="223"/>
      <c r="Z49" s="221"/>
      <c r="AA49" s="221"/>
      <c r="AB49" s="221"/>
      <c r="AC49" s="221"/>
      <c r="AD49" s="221"/>
      <c r="AE49" s="221"/>
      <c r="AF49" s="221"/>
      <c r="AG49" s="222"/>
    </row>
    <row r="50" spans="2:37">
      <c r="B50" s="144"/>
      <c r="C50" s="216"/>
      <c r="D50" s="217"/>
      <c r="E50" s="209"/>
      <c r="F50" s="217"/>
      <c r="G50" s="217"/>
      <c r="H50" s="218"/>
      <c r="I50" s="219"/>
      <c r="J50" s="218"/>
      <c r="K50" s="218"/>
      <c r="L50" s="218"/>
      <c r="M50" s="218"/>
      <c r="N50" s="220"/>
      <c r="O50" s="221"/>
      <c r="P50" s="222"/>
      <c r="Q50" s="221"/>
      <c r="R50" s="221"/>
      <c r="S50" s="221"/>
      <c r="T50" s="221"/>
      <c r="U50" s="221"/>
      <c r="V50" s="221"/>
      <c r="W50" s="221"/>
      <c r="X50" s="221"/>
      <c r="Y50" s="223"/>
      <c r="Z50" s="221"/>
      <c r="AA50" s="221"/>
      <c r="AB50" s="221"/>
      <c r="AC50" s="221"/>
      <c r="AD50" s="221"/>
      <c r="AE50" s="221"/>
      <c r="AF50" s="221"/>
      <c r="AG50" s="222"/>
    </row>
    <row r="51" spans="2:37">
      <c r="B51" s="144"/>
      <c r="C51" s="216"/>
      <c r="D51" s="217"/>
      <c r="E51" s="218"/>
      <c r="F51" s="217"/>
      <c r="G51" s="217"/>
      <c r="H51" s="218"/>
      <c r="I51" s="219"/>
      <c r="J51" s="218"/>
      <c r="K51" s="218"/>
      <c r="L51" s="218"/>
      <c r="M51" s="218"/>
      <c r="N51" s="220"/>
      <c r="O51" s="221"/>
      <c r="P51" s="222"/>
      <c r="Q51" s="221"/>
      <c r="R51" s="221"/>
      <c r="S51" s="221"/>
      <c r="T51" s="221"/>
      <c r="U51" s="221"/>
      <c r="V51" s="221"/>
      <c r="W51" s="221"/>
      <c r="X51" s="221"/>
      <c r="Y51" s="223"/>
      <c r="Z51" s="221"/>
      <c r="AA51" s="221"/>
      <c r="AB51" s="221"/>
      <c r="AC51" s="221"/>
      <c r="AD51" s="221"/>
      <c r="AE51" s="221"/>
      <c r="AF51" s="221"/>
      <c r="AG51" s="222"/>
    </row>
    <row r="52" spans="2:37">
      <c r="B52" s="144"/>
      <c r="C52" s="216"/>
      <c r="D52" s="217"/>
      <c r="E52" s="218"/>
      <c r="F52" s="217"/>
      <c r="G52" s="217"/>
      <c r="H52" s="218"/>
      <c r="I52" s="219"/>
      <c r="J52" s="218"/>
      <c r="K52" s="218"/>
      <c r="L52" s="218"/>
      <c r="M52" s="218"/>
      <c r="N52" s="220"/>
      <c r="O52" s="221"/>
      <c r="P52" s="222"/>
      <c r="Q52" s="221"/>
      <c r="R52" s="221"/>
      <c r="S52" s="221"/>
      <c r="T52" s="221"/>
      <c r="U52" s="221"/>
      <c r="V52" s="221"/>
      <c r="W52" s="221"/>
      <c r="X52" s="221"/>
      <c r="Y52" s="223"/>
      <c r="Z52" s="221"/>
      <c r="AA52" s="221"/>
      <c r="AB52" s="221"/>
      <c r="AC52" s="221"/>
      <c r="AD52" s="221"/>
      <c r="AE52" s="221"/>
      <c r="AF52" s="221"/>
      <c r="AG52" s="222"/>
    </row>
    <row r="53" spans="2:37">
      <c r="B53" s="144"/>
      <c r="C53" s="216"/>
      <c r="D53" s="217"/>
      <c r="E53" s="218"/>
      <c r="F53" s="217"/>
      <c r="G53" s="217"/>
      <c r="H53" s="218"/>
      <c r="I53" s="219"/>
      <c r="J53" s="218"/>
      <c r="K53" s="218"/>
      <c r="L53" s="218"/>
      <c r="M53" s="218"/>
      <c r="N53" s="220"/>
      <c r="O53" s="221"/>
      <c r="P53" s="222"/>
      <c r="Q53" s="221"/>
      <c r="R53" s="221"/>
      <c r="S53" s="221"/>
      <c r="T53" s="221"/>
      <c r="U53" s="221"/>
      <c r="V53" s="221"/>
      <c r="W53" s="221"/>
      <c r="X53" s="221"/>
      <c r="Y53" s="223"/>
      <c r="Z53" s="221"/>
      <c r="AA53" s="221"/>
      <c r="AB53" s="221"/>
      <c r="AC53" s="221"/>
      <c r="AD53" s="221"/>
      <c r="AE53" s="221"/>
      <c r="AF53" s="221"/>
      <c r="AG53" s="222"/>
    </row>
    <row r="54" spans="2:37">
      <c r="B54" s="144"/>
      <c r="C54" s="216"/>
      <c r="D54" s="217"/>
      <c r="E54" s="218"/>
      <c r="F54" s="217"/>
      <c r="G54" s="217"/>
      <c r="H54" s="218"/>
      <c r="I54" s="219"/>
      <c r="J54" s="218"/>
      <c r="K54" s="218"/>
      <c r="L54" s="218"/>
      <c r="M54" s="218"/>
      <c r="N54" s="220"/>
      <c r="O54" s="221"/>
      <c r="P54" s="222"/>
      <c r="Q54" s="221"/>
      <c r="R54" s="221"/>
      <c r="S54" s="221"/>
      <c r="T54" s="221"/>
      <c r="U54" s="221"/>
      <c r="V54" s="221"/>
      <c r="W54" s="221"/>
      <c r="X54" s="221"/>
      <c r="Y54" s="223"/>
      <c r="Z54" s="221"/>
      <c r="AA54" s="221"/>
      <c r="AB54" s="221"/>
      <c r="AC54" s="221"/>
      <c r="AD54" s="221"/>
      <c r="AE54" s="221"/>
      <c r="AF54" s="221"/>
      <c r="AG54" s="222"/>
    </row>
    <row r="55" spans="2:37">
      <c r="B55" s="144"/>
      <c r="C55" s="216"/>
      <c r="D55" s="217"/>
      <c r="E55" s="218"/>
      <c r="F55" s="217"/>
      <c r="G55" s="217"/>
      <c r="H55" s="218"/>
      <c r="I55" s="219"/>
      <c r="J55" s="218"/>
      <c r="K55" s="218"/>
      <c r="L55" s="218"/>
      <c r="M55" s="218"/>
      <c r="N55" s="220"/>
      <c r="O55" s="221"/>
      <c r="P55" s="222"/>
      <c r="Q55" s="221"/>
      <c r="R55" s="221"/>
      <c r="S55" s="221"/>
      <c r="T55" s="221"/>
      <c r="U55" s="221"/>
      <c r="V55" s="221"/>
      <c r="W55" s="221"/>
      <c r="X55" s="221"/>
      <c r="Y55" s="223"/>
      <c r="Z55" s="221"/>
      <c r="AA55" s="221"/>
      <c r="AB55" s="221"/>
      <c r="AC55" s="221"/>
      <c r="AD55" s="221"/>
      <c r="AE55" s="221"/>
      <c r="AF55" s="221"/>
      <c r="AG55" s="222"/>
    </row>
    <row r="56" spans="2:37">
      <c r="B56" s="144"/>
      <c r="C56" s="205"/>
      <c r="D56" s="200"/>
      <c r="E56" s="224"/>
      <c r="F56" s="200"/>
      <c r="G56" s="200"/>
      <c r="H56" s="224"/>
      <c r="I56" s="225"/>
      <c r="J56" s="224"/>
      <c r="K56" s="224"/>
      <c r="L56" s="224"/>
      <c r="M56" s="224"/>
      <c r="N56" s="226"/>
      <c r="O56" s="227"/>
      <c r="P56" s="228"/>
      <c r="Q56" s="227"/>
      <c r="R56" s="227"/>
      <c r="S56" s="227"/>
      <c r="T56" s="227"/>
      <c r="U56" s="227"/>
      <c r="V56" s="227"/>
      <c r="W56" s="227"/>
      <c r="X56" s="227"/>
      <c r="Y56" s="229"/>
      <c r="Z56" s="227"/>
      <c r="AA56" s="227"/>
      <c r="AB56" s="227"/>
      <c r="AC56" s="227"/>
      <c r="AD56" s="227"/>
      <c r="AE56" s="227"/>
      <c r="AF56" s="227"/>
      <c r="AG56" s="228"/>
    </row>
    <row r="57" spans="2:37">
      <c r="B57" s="144"/>
      <c r="C57" s="205"/>
      <c r="D57" s="200"/>
      <c r="E57" s="224"/>
      <c r="F57" s="200"/>
      <c r="G57" s="200"/>
      <c r="H57" s="224"/>
      <c r="I57" s="225"/>
      <c r="J57" s="224"/>
      <c r="K57" s="224"/>
      <c r="L57" s="224"/>
      <c r="M57" s="224"/>
      <c r="N57" s="226"/>
      <c r="O57" s="224"/>
      <c r="P57" s="230"/>
      <c r="Q57" s="224"/>
      <c r="R57" s="224"/>
      <c r="S57" s="224"/>
      <c r="T57" s="224"/>
      <c r="U57" s="224"/>
      <c r="V57" s="224"/>
      <c r="W57" s="224"/>
      <c r="X57" s="224"/>
      <c r="Y57" s="225"/>
      <c r="Z57" s="224"/>
      <c r="AA57" s="224"/>
      <c r="AB57" s="224"/>
      <c r="AC57" s="224"/>
      <c r="AD57" s="224"/>
      <c r="AE57" s="224"/>
      <c r="AF57" s="224"/>
      <c r="AG57" s="230"/>
    </row>
    <row r="58" spans="2:37">
      <c r="B58" s="144"/>
      <c r="C58" s="205"/>
      <c r="D58" s="200"/>
      <c r="E58" s="224"/>
      <c r="F58" s="200"/>
      <c r="G58" s="200"/>
      <c r="H58" s="224"/>
      <c r="I58" s="225"/>
      <c r="J58" s="224"/>
      <c r="K58" s="224"/>
      <c r="L58" s="224"/>
      <c r="M58" s="224"/>
      <c r="N58" s="226"/>
      <c r="O58" s="224"/>
      <c r="P58" s="230"/>
      <c r="Q58" s="224"/>
      <c r="R58" s="224"/>
      <c r="S58" s="224"/>
      <c r="T58" s="224"/>
      <c r="U58" s="224"/>
      <c r="V58" s="224"/>
      <c r="W58" s="224"/>
      <c r="X58" s="224"/>
      <c r="Y58" s="225"/>
      <c r="Z58" s="224"/>
      <c r="AA58" s="224"/>
      <c r="AB58" s="224"/>
      <c r="AC58" s="224"/>
      <c r="AD58" s="224"/>
      <c r="AE58" s="224"/>
      <c r="AF58" s="224"/>
      <c r="AG58" s="230"/>
    </row>
    <row r="59" spans="2:37">
      <c r="B59" s="144"/>
      <c r="C59" s="205"/>
      <c r="D59" s="200"/>
      <c r="E59" s="224"/>
      <c r="F59" s="200"/>
      <c r="G59" s="200"/>
      <c r="H59" s="224"/>
      <c r="I59" s="225"/>
      <c r="J59" s="224"/>
      <c r="K59" s="224"/>
      <c r="L59" s="224"/>
      <c r="M59" s="224"/>
      <c r="N59" s="226"/>
      <c r="O59" s="224"/>
      <c r="P59" s="230"/>
      <c r="Q59" s="224"/>
      <c r="R59" s="224"/>
      <c r="S59" s="224"/>
      <c r="T59" s="224"/>
      <c r="U59" s="224"/>
      <c r="V59" s="224"/>
      <c r="W59" s="224"/>
      <c r="X59" s="224"/>
      <c r="Y59" s="225"/>
      <c r="Z59" s="224"/>
      <c r="AA59" s="224"/>
      <c r="AB59" s="224"/>
      <c r="AC59" s="224"/>
      <c r="AD59" s="224"/>
      <c r="AE59" s="224"/>
      <c r="AF59" s="224"/>
      <c r="AG59" s="230"/>
    </row>
    <row r="60" spans="2:37">
      <c r="B60" s="144"/>
      <c r="C60" s="231" t="s">
        <v>138</v>
      </c>
      <c r="D60" s="232">
        <v>318</v>
      </c>
      <c r="E60" s="233">
        <v>3949000</v>
      </c>
      <c r="F60" s="234">
        <v>1241000</v>
      </c>
      <c r="G60" s="234">
        <v>2707000</v>
      </c>
      <c r="H60" s="233"/>
      <c r="I60" s="235"/>
      <c r="J60" s="232">
        <v>318</v>
      </c>
      <c r="K60" s="233">
        <v>4731000</v>
      </c>
      <c r="L60" s="234">
        <v>1487000</v>
      </c>
      <c r="M60" s="234">
        <v>3243000</v>
      </c>
      <c r="N60" s="236"/>
      <c r="O60" s="233"/>
      <c r="P60" s="237"/>
      <c r="Q60" s="235"/>
      <c r="R60" s="232">
        <v>318</v>
      </c>
      <c r="S60" s="233">
        <v>4543000</v>
      </c>
      <c r="T60" s="234">
        <v>1272000</v>
      </c>
      <c r="U60" s="234">
        <v>3272000</v>
      </c>
      <c r="V60" s="233"/>
      <c r="W60" s="233"/>
      <c r="X60" s="233"/>
      <c r="Y60" s="235"/>
      <c r="Z60" s="232">
        <v>318</v>
      </c>
      <c r="AA60" s="233">
        <v>4543000</v>
      </c>
      <c r="AB60" s="234">
        <v>1271000</v>
      </c>
      <c r="AC60" s="234">
        <v>3272000</v>
      </c>
      <c r="AD60" s="233"/>
      <c r="AE60" s="233"/>
      <c r="AF60" s="233"/>
      <c r="AG60" s="237"/>
    </row>
    <row r="61" spans="2:37">
      <c r="B61" s="144"/>
      <c r="C61" s="231" t="s">
        <v>139</v>
      </c>
      <c r="D61" s="238"/>
      <c r="E61" s="233"/>
      <c r="F61" s="234"/>
      <c r="G61" s="234"/>
      <c r="H61" s="233"/>
      <c r="I61" s="235"/>
      <c r="J61" s="233"/>
      <c r="K61" s="233">
        <v>782000</v>
      </c>
      <c r="L61" s="233">
        <v>246000</v>
      </c>
      <c r="M61" s="233">
        <v>536000</v>
      </c>
      <c r="N61" s="236"/>
      <c r="O61" s="233"/>
      <c r="P61" s="237"/>
      <c r="Q61" s="235"/>
      <c r="R61" s="233"/>
      <c r="S61" s="233">
        <v>594000</v>
      </c>
      <c r="T61" s="233">
        <v>31000</v>
      </c>
      <c r="U61" s="233">
        <v>565000</v>
      </c>
      <c r="V61" s="233"/>
      <c r="W61" s="233"/>
      <c r="X61" s="233"/>
      <c r="Y61" s="235"/>
      <c r="Z61" s="233"/>
      <c r="AA61" s="233">
        <v>594000</v>
      </c>
      <c r="AB61" s="233">
        <v>30000</v>
      </c>
      <c r="AC61" s="233">
        <v>565000</v>
      </c>
      <c r="AD61" s="233"/>
      <c r="AE61" s="233"/>
      <c r="AF61" s="233"/>
      <c r="AG61" s="237"/>
    </row>
    <row r="62" spans="2:37" ht="15" thickBot="1">
      <c r="B62" s="144"/>
      <c r="C62" s="239" t="s">
        <v>140</v>
      </c>
      <c r="D62" s="240"/>
      <c r="E62" s="241"/>
      <c r="F62" s="242"/>
      <c r="G62" s="242"/>
      <c r="H62" s="241"/>
      <c r="I62" s="243"/>
      <c r="J62" s="241"/>
      <c r="K62" s="244">
        <v>0.19802481640921751</v>
      </c>
      <c r="L62" s="244">
        <v>0.19822723609991941</v>
      </c>
      <c r="M62" s="244">
        <v>0.19800517177687477</v>
      </c>
      <c r="N62" s="245"/>
      <c r="O62" s="244"/>
      <c r="P62" s="246"/>
      <c r="Q62" s="243"/>
      <c r="R62" s="241"/>
      <c r="S62" s="244">
        <v>0.15041782729805014</v>
      </c>
      <c r="T62" s="244">
        <v>2.4979854955680902E-2</v>
      </c>
      <c r="U62" s="244">
        <v>0.20871813816032508</v>
      </c>
      <c r="V62" s="244"/>
      <c r="W62" s="244"/>
      <c r="X62" s="244"/>
      <c r="Y62" s="243"/>
      <c r="Z62" s="241"/>
      <c r="AA62" s="244">
        <v>0.15041782729805014</v>
      </c>
      <c r="AB62" s="244">
        <v>2.4174053182917002E-2</v>
      </c>
      <c r="AC62" s="244">
        <v>0.20871813816032508</v>
      </c>
      <c r="AD62" s="244"/>
      <c r="AE62" s="244"/>
      <c r="AF62" s="244"/>
      <c r="AG62" s="246"/>
    </row>
    <row r="63" spans="2:37">
      <c r="B63" s="144"/>
      <c r="C63" s="144"/>
      <c r="D63" s="146"/>
      <c r="E63" s="144"/>
      <c r="F63" s="247">
        <v>186150</v>
      </c>
      <c r="G63" s="248">
        <v>406050</v>
      </c>
      <c r="H63" s="249">
        <v>592200</v>
      </c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250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</row>
    <row r="64" spans="2:37">
      <c r="B64" s="144"/>
      <c r="C64" s="145" t="s">
        <v>141</v>
      </c>
      <c r="D64" s="146"/>
      <c r="E64" s="144"/>
      <c r="F64" s="146"/>
      <c r="G64" s="146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</row>
    <row r="65" spans="2:37">
      <c r="B65" s="144"/>
      <c r="C65" s="145" t="s">
        <v>142</v>
      </c>
      <c r="D65" s="146"/>
      <c r="E65" s="144"/>
      <c r="F65" s="146"/>
      <c r="G65" s="146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</row>
    <row r="66" spans="2:37" ht="15" thickBot="1">
      <c r="B66" s="144"/>
      <c r="C66" s="145" t="s">
        <v>143</v>
      </c>
      <c r="D66" s="146"/>
      <c r="E66" s="144"/>
      <c r="F66" s="146"/>
      <c r="G66" s="146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</row>
    <row r="67" spans="2:37">
      <c r="B67" s="144"/>
      <c r="C67" s="144"/>
      <c r="D67" s="146"/>
      <c r="E67" s="251">
        <v>3949000</v>
      </c>
      <c r="F67" s="252"/>
      <c r="G67" s="253"/>
      <c r="H67" s="250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</row>
    <row r="68" spans="2:37">
      <c r="B68" s="144"/>
      <c r="C68" s="144"/>
      <c r="D68" s="146"/>
      <c r="E68" s="254">
        <v>394900</v>
      </c>
      <c r="F68" s="255"/>
      <c r="G68" s="256" t="s">
        <v>144</v>
      </c>
      <c r="H68" s="257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</row>
    <row r="69" spans="2:37">
      <c r="B69" s="144"/>
      <c r="C69" s="144"/>
      <c r="D69" s="146"/>
      <c r="E69" s="254">
        <v>473880</v>
      </c>
      <c r="F69" s="255"/>
      <c r="G69" s="256" t="s">
        <v>145</v>
      </c>
      <c r="H69" s="257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</row>
    <row r="70" spans="2:37" ht="15" thickBot="1">
      <c r="B70" s="144"/>
      <c r="C70" s="144"/>
      <c r="D70" s="146"/>
      <c r="E70" s="258"/>
      <c r="F70" s="259"/>
      <c r="G70" s="260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</row>
    <row r="71" spans="2:37">
      <c r="B71" s="144"/>
      <c r="C71" s="144"/>
      <c r="D71" s="146"/>
      <c r="E71" s="144"/>
      <c r="F71" s="146"/>
      <c r="G71" s="146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</row>
  </sheetData>
  <mergeCells count="25">
    <mergeCell ref="O34:O35"/>
    <mergeCell ref="B2:F2"/>
    <mergeCell ref="B4:E4"/>
    <mergeCell ref="B8:E8"/>
    <mergeCell ref="B12:E12"/>
    <mergeCell ref="B17:C17"/>
    <mergeCell ref="B18:C18"/>
    <mergeCell ref="C34:H34"/>
    <mergeCell ref="I34:M34"/>
    <mergeCell ref="N34:N35"/>
    <mergeCell ref="P34:P35"/>
    <mergeCell ref="Q34:U34"/>
    <mergeCell ref="V34:V35"/>
    <mergeCell ref="W34:W35"/>
    <mergeCell ref="X34:X35"/>
    <mergeCell ref="Q44:T44"/>
    <mergeCell ref="Y44:AB44"/>
    <mergeCell ref="AD34:AD35"/>
    <mergeCell ref="AE34:AE35"/>
    <mergeCell ref="AF34:AF35"/>
    <mergeCell ref="Q36:T36"/>
    <mergeCell ref="Y36:AB36"/>
    <mergeCell ref="Q40:T40"/>
    <mergeCell ref="Y40:AB40"/>
    <mergeCell ref="Y34:AC3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Hampshire College</vt:lpstr>
      <vt:lpstr>Inputs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Paquette</dc:creator>
  <cp:lastModifiedBy>Hampshire College</cp:lastModifiedBy>
  <cp:lastPrinted>2009-10-12T17:17:45Z</cp:lastPrinted>
  <dcterms:created xsi:type="dcterms:W3CDTF">2009-07-23T18:09:53Z</dcterms:created>
  <dcterms:modified xsi:type="dcterms:W3CDTF">2017-10-05T15:15:03Z</dcterms:modified>
</cp:coreProperties>
</file>